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1555" windowHeight="11385" firstSheet="4" activeTab="4"/>
  </bookViews>
  <sheets>
    <sheet name="％製本+最終版" sheetId="32" r:id="rId1"/>
    <sheet name="3G合計" sheetId="34" r:id="rId2"/>
    <sheet name="2実数製本+最終版" sheetId="33" r:id="rId3"/>
    <sheet name="2重要　実数にする" sheetId="17" r:id="rId4"/>
    <sheet name="1 貸借対照表" sheetId="29" r:id="rId5"/>
  </sheets>
  <calcPr calcId="145621"/>
</workbook>
</file>

<file path=xl/calcChain.xml><?xml version="1.0" encoding="utf-8"?>
<calcChain xmlns="http://schemas.openxmlformats.org/spreadsheetml/2006/main">
  <c r="Y12" i="34" l="1"/>
  <c r="Y99" i="34"/>
  <c r="Y98" i="34"/>
  <c r="Y97" i="34"/>
  <c r="Y96" i="34"/>
  <c r="Y95" i="34"/>
  <c r="Y94" i="34"/>
  <c r="Y93" i="34"/>
  <c r="Y92" i="34"/>
  <c r="Y91" i="34"/>
  <c r="Y90" i="34"/>
  <c r="Y89" i="34"/>
  <c r="Y88" i="34"/>
  <c r="Y87" i="34"/>
  <c r="Y86" i="34"/>
  <c r="Y85" i="34"/>
  <c r="Y84" i="34"/>
  <c r="Y83" i="34"/>
  <c r="Y82" i="34"/>
  <c r="Y81" i="34"/>
  <c r="Y80" i="34"/>
  <c r="Y79" i="34"/>
  <c r="Y78" i="34"/>
  <c r="Y77" i="34"/>
  <c r="Y76" i="34"/>
  <c r="Y75" i="34"/>
  <c r="Y74" i="34"/>
  <c r="Y73" i="34"/>
  <c r="Y72" i="34"/>
  <c r="Y71" i="34"/>
  <c r="Y70" i="34"/>
  <c r="Y69" i="34"/>
  <c r="Y68" i="34"/>
  <c r="Y67" i="34"/>
  <c r="Y66" i="34"/>
  <c r="Y65" i="34"/>
  <c r="Y64" i="34"/>
  <c r="Y63" i="34"/>
  <c r="Y62" i="34"/>
  <c r="Y61" i="34"/>
  <c r="Y60" i="34"/>
  <c r="Y59" i="34"/>
  <c r="Y58" i="34"/>
  <c r="Y57" i="34"/>
  <c r="Y56" i="34"/>
  <c r="Y55" i="34"/>
  <c r="Y54" i="34"/>
  <c r="Y53" i="34"/>
  <c r="Y52" i="34"/>
  <c r="Y51" i="34"/>
  <c r="Y50" i="34"/>
  <c r="Y49" i="34"/>
  <c r="Y48" i="34"/>
  <c r="Y47" i="34"/>
  <c r="Y46" i="34"/>
  <c r="Y45" i="34"/>
  <c r="Y44" i="34"/>
  <c r="Y43" i="34"/>
  <c r="Y42" i="34"/>
  <c r="Y41" i="34"/>
  <c r="Y40" i="34"/>
  <c r="Y39" i="34"/>
  <c r="Y38" i="34"/>
  <c r="Y37" i="34"/>
  <c r="Y36" i="34"/>
  <c r="Y35" i="34"/>
  <c r="Y34" i="34"/>
  <c r="Y33" i="34"/>
  <c r="Y32" i="34"/>
  <c r="Y31" i="34"/>
  <c r="Y30" i="34"/>
  <c r="Y29" i="34"/>
  <c r="Y28" i="34"/>
  <c r="Y27" i="34"/>
  <c r="Y26" i="34"/>
  <c r="Y25" i="34"/>
  <c r="Y24" i="34"/>
  <c r="Y23" i="34"/>
  <c r="Y22" i="34"/>
  <c r="Y21" i="34"/>
  <c r="Y20" i="34"/>
  <c r="Y19" i="34"/>
  <c r="Y18" i="34"/>
  <c r="Y17" i="34"/>
  <c r="Y16" i="34"/>
  <c r="Y15" i="34"/>
  <c r="Y14" i="34"/>
  <c r="Y13" i="34"/>
  <c r="Y11" i="34"/>
  <c r="Y10" i="34"/>
  <c r="Z10" i="34" s="1"/>
  <c r="W99" i="34"/>
  <c r="W98" i="34"/>
  <c r="W97" i="34"/>
  <c r="W96" i="34"/>
  <c r="W95" i="34"/>
  <c r="W94" i="34"/>
  <c r="W93" i="34"/>
  <c r="W92" i="34"/>
  <c r="W91" i="34"/>
  <c r="W90" i="34"/>
  <c r="W89" i="34"/>
  <c r="W88" i="34"/>
  <c r="W87" i="34"/>
  <c r="W86" i="34"/>
  <c r="W85" i="34"/>
  <c r="W84" i="34"/>
  <c r="W83" i="34"/>
  <c r="W82" i="34"/>
  <c r="W81" i="34"/>
  <c r="Z81" i="34" s="1"/>
  <c r="AB81" i="34" s="1"/>
  <c r="W80" i="34"/>
  <c r="W79" i="34"/>
  <c r="W78" i="34"/>
  <c r="W77" i="34"/>
  <c r="W76" i="34"/>
  <c r="W75" i="34"/>
  <c r="W74" i="34"/>
  <c r="W73" i="34"/>
  <c r="W72" i="34"/>
  <c r="W71" i="34"/>
  <c r="W70" i="34"/>
  <c r="W69" i="34"/>
  <c r="W68" i="34"/>
  <c r="W67" i="34"/>
  <c r="W66" i="34"/>
  <c r="W65" i="34"/>
  <c r="W64" i="34"/>
  <c r="W63" i="34"/>
  <c r="W62" i="34"/>
  <c r="W61" i="34"/>
  <c r="Z61" i="34" s="1"/>
  <c r="W60" i="34"/>
  <c r="W59" i="34"/>
  <c r="W58" i="34"/>
  <c r="W57" i="34"/>
  <c r="W56" i="34"/>
  <c r="W55" i="34"/>
  <c r="W54" i="34"/>
  <c r="W53" i="34"/>
  <c r="W52" i="34"/>
  <c r="W51" i="34"/>
  <c r="W50" i="34"/>
  <c r="Z50" i="34" s="1"/>
  <c r="AB50" i="34" s="1"/>
  <c r="W49" i="34"/>
  <c r="W48" i="34"/>
  <c r="W47" i="34"/>
  <c r="W46" i="34"/>
  <c r="W45" i="34"/>
  <c r="W44" i="34"/>
  <c r="W43" i="34"/>
  <c r="W42" i="34"/>
  <c r="W41" i="34"/>
  <c r="W40" i="34"/>
  <c r="W39" i="34"/>
  <c r="W38" i="34"/>
  <c r="Z38" i="34" s="1"/>
  <c r="AB38" i="34" s="1"/>
  <c r="W37" i="34"/>
  <c r="W36" i="34"/>
  <c r="W35" i="34"/>
  <c r="W34" i="34"/>
  <c r="W33" i="34"/>
  <c r="W32" i="34"/>
  <c r="W31" i="34"/>
  <c r="W30" i="34"/>
  <c r="W29" i="34"/>
  <c r="W28" i="34"/>
  <c r="W27" i="34"/>
  <c r="W26" i="34"/>
  <c r="W25" i="34"/>
  <c r="W24" i="34"/>
  <c r="W23" i="34"/>
  <c r="W22" i="34"/>
  <c r="W21" i="34"/>
  <c r="W20" i="34"/>
  <c r="W19" i="34"/>
  <c r="W18" i="34"/>
  <c r="W17" i="34"/>
  <c r="W16" i="34"/>
  <c r="W15" i="34"/>
  <c r="W14" i="34"/>
  <c r="W13" i="34"/>
  <c r="W12" i="34"/>
  <c r="W11" i="34"/>
  <c r="W10" i="34"/>
  <c r="L99" i="34"/>
  <c r="L98" i="34"/>
  <c r="L97" i="34"/>
  <c r="L96" i="34"/>
  <c r="L95" i="34"/>
  <c r="L94" i="34"/>
  <c r="L93" i="34"/>
  <c r="L92" i="34"/>
  <c r="L91" i="34"/>
  <c r="L90" i="34"/>
  <c r="L89" i="34"/>
  <c r="L88" i="34"/>
  <c r="L87" i="34"/>
  <c r="L86" i="34"/>
  <c r="L85" i="34"/>
  <c r="L84" i="34"/>
  <c r="L83" i="34"/>
  <c r="L82" i="34"/>
  <c r="L81" i="34"/>
  <c r="L80" i="34"/>
  <c r="L79" i="34"/>
  <c r="L78" i="34"/>
  <c r="L77" i="34"/>
  <c r="Z77" i="34" s="1"/>
  <c r="AB77" i="34" s="1"/>
  <c r="L76" i="34"/>
  <c r="L75" i="34"/>
  <c r="L74" i="34"/>
  <c r="L73" i="34"/>
  <c r="L72" i="34"/>
  <c r="L71" i="34"/>
  <c r="Z71" i="34" s="1"/>
  <c r="AB71" i="34" s="1"/>
  <c r="L70" i="34"/>
  <c r="L69" i="34"/>
  <c r="L68" i="34"/>
  <c r="L67" i="34"/>
  <c r="Z67" i="34" s="1"/>
  <c r="L66" i="34"/>
  <c r="L65" i="34"/>
  <c r="L64" i="34"/>
  <c r="L63" i="34"/>
  <c r="L62" i="34"/>
  <c r="L61" i="34"/>
  <c r="L60" i="34"/>
  <c r="L59" i="34"/>
  <c r="L58" i="34"/>
  <c r="L57" i="34"/>
  <c r="L56" i="34"/>
  <c r="L55" i="34"/>
  <c r="L54" i="34"/>
  <c r="L53" i="34"/>
  <c r="L52" i="34"/>
  <c r="L51" i="34"/>
  <c r="Z51" i="34" s="1"/>
  <c r="AB51" i="34" s="1"/>
  <c r="L50" i="34"/>
  <c r="L49" i="34"/>
  <c r="L48" i="34"/>
  <c r="L47" i="34"/>
  <c r="Z47" i="34" s="1"/>
  <c r="AB47" i="34" s="1"/>
  <c r="L46" i="34"/>
  <c r="L45" i="34"/>
  <c r="L44" i="34"/>
  <c r="L43" i="34"/>
  <c r="L42" i="34"/>
  <c r="L41" i="34"/>
  <c r="L40" i="34"/>
  <c r="L39" i="34"/>
  <c r="L38" i="34"/>
  <c r="L37" i="34"/>
  <c r="Z37" i="34" s="1"/>
  <c r="AB37" i="34" s="1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Z19" i="34" s="1"/>
  <c r="AB19" i="34" s="1"/>
  <c r="L18" i="34"/>
  <c r="L17" i="34"/>
  <c r="L16" i="34"/>
  <c r="L15" i="34"/>
  <c r="L14" i="34"/>
  <c r="L13" i="34"/>
  <c r="L12" i="34"/>
  <c r="L10" i="34"/>
  <c r="Z80" i="34"/>
  <c r="Z79" i="34"/>
  <c r="AB79" i="34" s="1"/>
  <c r="Z78" i="34"/>
  <c r="AB78" i="34" s="1"/>
  <c r="Z76" i="34"/>
  <c r="AB76" i="34" s="1"/>
  <c r="AA75" i="34"/>
  <c r="X75" i="34"/>
  <c r="V75" i="34"/>
  <c r="U75" i="34"/>
  <c r="T75" i="34"/>
  <c r="S75" i="34"/>
  <c r="R75" i="34"/>
  <c r="Q75" i="34"/>
  <c r="P75" i="34"/>
  <c r="O75" i="34"/>
  <c r="N75" i="34"/>
  <c r="M75" i="34"/>
  <c r="K75" i="34"/>
  <c r="J75" i="34"/>
  <c r="I75" i="34"/>
  <c r="H75" i="34"/>
  <c r="G75" i="34"/>
  <c r="Z75" i="34" s="1"/>
  <c r="AB75" i="34" s="1"/>
  <c r="Z73" i="34"/>
  <c r="AB73" i="34" s="1"/>
  <c r="Z72" i="34"/>
  <c r="AB72" i="34" s="1"/>
  <c r="AA70" i="34"/>
  <c r="X70" i="34"/>
  <c r="V70" i="34"/>
  <c r="U70" i="34"/>
  <c r="T70" i="34"/>
  <c r="S70" i="34"/>
  <c r="R70" i="34"/>
  <c r="Q70" i="34"/>
  <c r="P70" i="34"/>
  <c r="O70" i="34"/>
  <c r="N70" i="34"/>
  <c r="M70" i="34"/>
  <c r="K70" i="34"/>
  <c r="J70" i="34"/>
  <c r="I70" i="34"/>
  <c r="H70" i="34"/>
  <c r="G70" i="34"/>
  <c r="Z69" i="34"/>
  <c r="AB69" i="34" s="1"/>
  <c r="Z68" i="34"/>
  <c r="Z66" i="34"/>
  <c r="Z65" i="34"/>
  <c r="AB65" i="34" s="1"/>
  <c r="Z64" i="34"/>
  <c r="AB64" i="34" s="1"/>
  <c r="AA63" i="34"/>
  <c r="X63" i="34"/>
  <c r="V63" i="34"/>
  <c r="U63" i="34"/>
  <c r="T63" i="34"/>
  <c r="S63" i="34"/>
  <c r="R63" i="34"/>
  <c r="Q63" i="34"/>
  <c r="P63" i="34"/>
  <c r="O63" i="34"/>
  <c r="N63" i="34"/>
  <c r="M63" i="34"/>
  <c r="K63" i="34"/>
  <c r="J63" i="34"/>
  <c r="I63" i="34"/>
  <c r="H63" i="34"/>
  <c r="G63" i="34"/>
  <c r="Z60" i="34"/>
  <c r="X59" i="34"/>
  <c r="V59" i="34"/>
  <c r="U59" i="34"/>
  <c r="T59" i="34"/>
  <c r="S59" i="34"/>
  <c r="R59" i="34"/>
  <c r="Q59" i="34"/>
  <c r="P59" i="34"/>
  <c r="O59" i="34"/>
  <c r="N59" i="34"/>
  <c r="M59" i="34"/>
  <c r="K59" i="34"/>
  <c r="J59" i="34"/>
  <c r="I59" i="34"/>
  <c r="H59" i="34"/>
  <c r="G59" i="34"/>
  <c r="Z58" i="34"/>
  <c r="AB58" i="34" s="1"/>
  <c r="Z57" i="34"/>
  <c r="AB57" i="34" s="1"/>
  <c r="Z56" i="34"/>
  <c r="AB56" i="34" s="1"/>
  <c r="Z55" i="34"/>
  <c r="AB55" i="34" s="1"/>
  <c r="AA53" i="34"/>
  <c r="X53" i="34"/>
  <c r="V53" i="34"/>
  <c r="U53" i="34"/>
  <c r="T53" i="34"/>
  <c r="S53" i="34"/>
  <c r="R53" i="34"/>
  <c r="Q53" i="34"/>
  <c r="P53" i="34"/>
  <c r="O53" i="34"/>
  <c r="N53" i="34"/>
  <c r="M53" i="34"/>
  <c r="K53" i="34"/>
  <c r="J53" i="34"/>
  <c r="I53" i="34"/>
  <c r="H53" i="34"/>
  <c r="G53" i="34"/>
  <c r="Z53" i="34" s="1"/>
  <c r="AB53" i="34" s="1"/>
  <c r="Z52" i="34"/>
  <c r="AB52" i="34" s="1"/>
  <c r="AA49" i="34"/>
  <c r="X49" i="34"/>
  <c r="V49" i="34"/>
  <c r="U49" i="34"/>
  <c r="T49" i="34"/>
  <c r="S49" i="34"/>
  <c r="R49" i="34"/>
  <c r="Q49" i="34"/>
  <c r="P49" i="34"/>
  <c r="O49" i="34"/>
  <c r="N49" i="34"/>
  <c r="M49" i="34"/>
  <c r="K49" i="34"/>
  <c r="J49" i="34"/>
  <c r="I49" i="34"/>
  <c r="H49" i="34"/>
  <c r="G49" i="34"/>
  <c r="Z49" i="34" s="1"/>
  <c r="AB49" i="34" s="1"/>
  <c r="Z48" i="34"/>
  <c r="AB48" i="34" s="1"/>
  <c r="AA42" i="34"/>
  <c r="X42" i="34"/>
  <c r="R42" i="34"/>
  <c r="Q42" i="34"/>
  <c r="N42" i="34"/>
  <c r="M42" i="34"/>
  <c r="K42" i="34"/>
  <c r="J42" i="34"/>
  <c r="H42" i="34"/>
  <c r="G42" i="34"/>
  <c r="Z41" i="34"/>
  <c r="AB41" i="34" s="1"/>
  <c r="X40" i="34"/>
  <c r="V40" i="34"/>
  <c r="U40" i="34"/>
  <c r="T40" i="34"/>
  <c r="S40" i="34"/>
  <c r="R40" i="34"/>
  <c r="Q40" i="34"/>
  <c r="P40" i="34"/>
  <c r="O40" i="34"/>
  <c r="N40" i="34"/>
  <c r="M40" i="34"/>
  <c r="K40" i="34"/>
  <c r="J40" i="34"/>
  <c r="I40" i="34"/>
  <c r="H40" i="34"/>
  <c r="G40" i="34"/>
  <c r="Z40" i="34" s="1"/>
  <c r="AB40" i="34" s="1"/>
  <c r="K39" i="34"/>
  <c r="I39" i="34"/>
  <c r="Z39" i="34" s="1"/>
  <c r="AB39" i="34" s="1"/>
  <c r="AA36" i="34"/>
  <c r="AA82" i="34" s="1"/>
  <c r="X36" i="34"/>
  <c r="V36" i="34"/>
  <c r="U36" i="34"/>
  <c r="T36" i="34"/>
  <c r="S36" i="34"/>
  <c r="R36" i="34"/>
  <c r="Q36" i="34"/>
  <c r="P36" i="34"/>
  <c r="O36" i="34"/>
  <c r="N36" i="34"/>
  <c r="M36" i="34"/>
  <c r="K36" i="34"/>
  <c r="J36" i="34"/>
  <c r="I36" i="34"/>
  <c r="H36" i="34"/>
  <c r="G36" i="34"/>
  <c r="Z36" i="34" s="1"/>
  <c r="AB36" i="34" s="1"/>
  <c r="V35" i="34"/>
  <c r="U35" i="34"/>
  <c r="T35" i="34"/>
  <c r="T33" i="34" s="1"/>
  <c r="T30" i="34" s="1"/>
  <c r="T43" i="34" s="1"/>
  <c r="S35" i="34"/>
  <c r="P35" i="34"/>
  <c r="P33" i="34" s="1"/>
  <c r="P30" i="34" s="1"/>
  <c r="P45" i="34" s="1"/>
  <c r="O35" i="34"/>
  <c r="I35" i="34"/>
  <c r="AA34" i="34"/>
  <c r="X33" i="34"/>
  <c r="V33" i="34"/>
  <c r="V30" i="34" s="1"/>
  <c r="V62" i="34" s="1"/>
  <c r="U33" i="34"/>
  <c r="U30" i="34" s="1"/>
  <c r="U46" i="34" s="1"/>
  <c r="S33" i="34"/>
  <c r="R33" i="34"/>
  <c r="Q33" i="34"/>
  <c r="Q30" i="34" s="1"/>
  <c r="Q62" i="34" s="1"/>
  <c r="Q34" i="34" s="1"/>
  <c r="O33" i="34"/>
  <c r="O30" i="34" s="1"/>
  <c r="O46" i="34" s="1"/>
  <c r="N33" i="34"/>
  <c r="M33" i="34"/>
  <c r="M30" i="34" s="1"/>
  <c r="M62" i="34" s="1"/>
  <c r="M34" i="34" s="1"/>
  <c r="K33" i="34"/>
  <c r="K30" i="34" s="1"/>
  <c r="K62" i="34" s="1"/>
  <c r="K34" i="34" s="1"/>
  <c r="J33" i="34"/>
  <c r="J30" i="34" s="1"/>
  <c r="J62" i="34" s="1"/>
  <c r="J34" i="34" s="1"/>
  <c r="H33" i="34"/>
  <c r="H30" i="34" s="1"/>
  <c r="H62" i="34" s="1"/>
  <c r="H34" i="34" s="1"/>
  <c r="G33" i="34"/>
  <c r="Z32" i="34"/>
  <c r="X30" i="34"/>
  <c r="X62" i="34" s="1"/>
  <c r="X34" i="34" s="1"/>
  <c r="S30" i="34"/>
  <c r="S44" i="34" s="1"/>
  <c r="R30" i="34"/>
  <c r="R62" i="34" s="1"/>
  <c r="R34" i="34" s="1"/>
  <c r="N30" i="34"/>
  <c r="N62" i="34" s="1"/>
  <c r="N34" i="34" s="1"/>
  <c r="G30" i="34"/>
  <c r="G62" i="34" s="1"/>
  <c r="AB27" i="34"/>
  <c r="Z25" i="34"/>
  <c r="AB25" i="34" s="1"/>
  <c r="AB24" i="34"/>
  <c r="Z24" i="34"/>
  <c r="AA23" i="34"/>
  <c r="X23" i="34"/>
  <c r="V23" i="34"/>
  <c r="U23" i="34"/>
  <c r="T23" i="34"/>
  <c r="S23" i="34"/>
  <c r="R23" i="34"/>
  <c r="Q23" i="34"/>
  <c r="P23" i="34"/>
  <c r="O23" i="34"/>
  <c r="N23" i="34"/>
  <c r="M23" i="34"/>
  <c r="K23" i="34"/>
  <c r="J23" i="34"/>
  <c r="I23" i="34"/>
  <c r="H23" i="34"/>
  <c r="G23" i="34"/>
  <c r="Z22" i="34"/>
  <c r="AB22" i="34" s="1"/>
  <c r="X20" i="34"/>
  <c r="V20" i="34"/>
  <c r="V18" i="34" s="1"/>
  <c r="U20" i="34"/>
  <c r="T20" i="34"/>
  <c r="S20" i="34"/>
  <c r="P20" i="34"/>
  <c r="P18" i="34" s="1"/>
  <c r="K20" i="34"/>
  <c r="J20" i="34"/>
  <c r="I20" i="34"/>
  <c r="H20" i="34"/>
  <c r="H18" i="34" s="1"/>
  <c r="G20" i="34"/>
  <c r="AA18" i="34"/>
  <c r="X18" i="34"/>
  <c r="U18" i="34"/>
  <c r="T18" i="34"/>
  <c r="S18" i="34"/>
  <c r="R18" i="34"/>
  <c r="Q18" i="34"/>
  <c r="O18" i="34"/>
  <c r="N18" i="34"/>
  <c r="M18" i="34"/>
  <c r="K18" i="34"/>
  <c r="J18" i="34"/>
  <c r="I18" i="34"/>
  <c r="G18" i="34"/>
  <c r="Z16" i="34"/>
  <c r="AB16" i="34" s="1"/>
  <c r="Z15" i="34"/>
  <c r="AB15" i="34" s="1"/>
  <c r="AA14" i="34"/>
  <c r="X14" i="34"/>
  <c r="V14" i="34"/>
  <c r="U14" i="34"/>
  <c r="T14" i="34"/>
  <c r="S14" i="34"/>
  <c r="R14" i="34"/>
  <c r="Q14" i="34"/>
  <c r="P14" i="34"/>
  <c r="O14" i="34"/>
  <c r="N14" i="34"/>
  <c r="M14" i="34"/>
  <c r="K14" i="34"/>
  <c r="J14" i="34"/>
  <c r="I14" i="34"/>
  <c r="H14" i="34"/>
  <c r="G14" i="34"/>
  <c r="Z13" i="34"/>
  <c r="AB13" i="34" s="1"/>
  <c r="AA12" i="34"/>
  <c r="X12" i="34"/>
  <c r="V12" i="34"/>
  <c r="U12" i="34"/>
  <c r="T12" i="34"/>
  <c r="S12" i="34"/>
  <c r="R12" i="34"/>
  <c r="Q12" i="34"/>
  <c r="P12" i="34"/>
  <c r="O12" i="34"/>
  <c r="N12" i="34"/>
  <c r="M12" i="34"/>
  <c r="K12" i="34"/>
  <c r="J12" i="34"/>
  <c r="I12" i="34"/>
  <c r="H12" i="34"/>
  <c r="G12" i="34"/>
  <c r="Z11" i="34"/>
  <c r="AB11" i="34" s="1"/>
  <c r="AA10" i="34"/>
  <c r="X10" i="34"/>
  <c r="V10" i="34"/>
  <c r="U10" i="34"/>
  <c r="T10" i="34"/>
  <c r="S10" i="34"/>
  <c r="R10" i="34"/>
  <c r="Q10" i="34"/>
  <c r="P10" i="34"/>
  <c r="O10" i="34"/>
  <c r="N10" i="34"/>
  <c r="M10" i="34"/>
  <c r="K10" i="34"/>
  <c r="J10" i="34"/>
  <c r="I10" i="34"/>
  <c r="H10" i="34"/>
  <c r="G10" i="34"/>
  <c r="Z17" i="34" l="1"/>
  <c r="AB17" i="34" s="1"/>
  <c r="Z21" i="34"/>
  <c r="AB21" i="34" s="1"/>
  <c r="Z70" i="34"/>
  <c r="AB70" i="34" s="1"/>
  <c r="Z54" i="34"/>
  <c r="AB54" i="34" s="1"/>
  <c r="Z74" i="34"/>
  <c r="AB74" i="34" s="1"/>
  <c r="Z59" i="34"/>
  <c r="AB59" i="34" s="1"/>
  <c r="Z35" i="34"/>
  <c r="Z33" i="34" s="1"/>
  <c r="Z30" i="34" s="1"/>
  <c r="M26" i="34"/>
  <c r="M31" i="34" s="1"/>
  <c r="Q26" i="34"/>
  <c r="U26" i="34"/>
  <c r="G26" i="34"/>
  <c r="K26" i="34"/>
  <c r="P26" i="34"/>
  <c r="P31" i="34" s="1"/>
  <c r="T26" i="34"/>
  <c r="T31" i="34" s="1"/>
  <c r="AA26" i="34"/>
  <c r="AA83" i="34" s="1"/>
  <c r="I26" i="34"/>
  <c r="R26" i="34"/>
  <c r="R31" i="34" s="1"/>
  <c r="Z12" i="34"/>
  <c r="AB12" i="34" s="1"/>
  <c r="X82" i="34"/>
  <c r="J26" i="34"/>
  <c r="O26" i="34"/>
  <c r="O31" i="34" s="1"/>
  <c r="S26" i="34"/>
  <c r="S31" i="34" s="1"/>
  <c r="X26" i="34"/>
  <c r="X31" i="34" s="1"/>
  <c r="Z20" i="34"/>
  <c r="AB20" i="34" s="1"/>
  <c r="AB18" i="34" s="1"/>
  <c r="H82" i="34"/>
  <c r="M82" i="34"/>
  <c r="M83" i="34" s="1"/>
  <c r="Q82" i="34"/>
  <c r="Z23" i="34"/>
  <c r="AB23" i="34" s="1"/>
  <c r="I33" i="34"/>
  <c r="I30" i="34" s="1"/>
  <c r="I62" i="34" s="1"/>
  <c r="Z14" i="34"/>
  <c r="AB14" i="34" s="1"/>
  <c r="N26" i="34"/>
  <c r="V26" i="34"/>
  <c r="J82" i="34"/>
  <c r="G31" i="34"/>
  <c r="I31" i="34"/>
  <c r="J31" i="34"/>
  <c r="X83" i="34"/>
  <c r="K82" i="34"/>
  <c r="K83" i="34" s="1"/>
  <c r="K31" i="34"/>
  <c r="H26" i="34"/>
  <c r="Q31" i="34"/>
  <c r="U31" i="34"/>
  <c r="N82" i="34"/>
  <c r="R82" i="34"/>
  <c r="N31" i="34"/>
  <c r="V31" i="34"/>
  <c r="G34" i="34"/>
  <c r="O43" i="34"/>
  <c r="U43" i="34"/>
  <c r="T44" i="34"/>
  <c r="S45" i="34"/>
  <c r="P46" i="34"/>
  <c r="V46" i="34"/>
  <c r="O62" i="34"/>
  <c r="S62" i="34"/>
  <c r="G82" i="34"/>
  <c r="G83" i="34" s="1"/>
  <c r="P43" i="34"/>
  <c r="V43" i="34"/>
  <c r="O44" i="34"/>
  <c r="U44" i="34"/>
  <c r="T45" i="34"/>
  <c r="S46" i="34"/>
  <c r="P62" i="34"/>
  <c r="T62" i="34"/>
  <c r="S43" i="34"/>
  <c r="P44" i="34"/>
  <c r="V44" i="34"/>
  <c r="O45" i="34"/>
  <c r="U45" i="34"/>
  <c r="T46" i="34"/>
  <c r="U62" i="34"/>
  <c r="V45" i="34"/>
  <c r="Z63" i="34"/>
  <c r="AB63" i="34" s="1"/>
  <c r="W68" i="33"/>
  <c r="W67" i="33"/>
  <c r="W81" i="33"/>
  <c r="Y81" i="33" s="1"/>
  <c r="W80" i="33"/>
  <c r="Y79" i="33"/>
  <c r="W79" i="33"/>
  <c r="W78" i="33"/>
  <c r="Y78" i="33" s="1"/>
  <c r="Y77" i="33"/>
  <c r="W77" i="33"/>
  <c r="W76" i="33"/>
  <c r="Y76" i="33" s="1"/>
  <c r="X75" i="33"/>
  <c r="V75" i="33"/>
  <c r="U75" i="33"/>
  <c r="T75" i="33"/>
  <c r="S75" i="33"/>
  <c r="R75" i="33"/>
  <c r="Q75" i="33"/>
  <c r="P75" i="33"/>
  <c r="O75" i="33"/>
  <c r="N75" i="33"/>
  <c r="M75" i="33"/>
  <c r="L75" i="33"/>
  <c r="K75" i="33"/>
  <c r="J75" i="33"/>
  <c r="I75" i="33"/>
  <c r="H75" i="33"/>
  <c r="G75" i="33"/>
  <c r="W75" i="33" s="1"/>
  <c r="Y75" i="33" s="1"/>
  <c r="W74" i="33"/>
  <c r="Y74" i="33" s="1"/>
  <c r="W73" i="33"/>
  <c r="Y73" i="33" s="1"/>
  <c r="W72" i="33"/>
  <c r="Y72" i="33" s="1"/>
  <c r="W71" i="33"/>
  <c r="Y71" i="33" s="1"/>
  <c r="X70" i="33"/>
  <c r="V70" i="33"/>
  <c r="U70" i="33"/>
  <c r="T70" i="33"/>
  <c r="S70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W70" i="33" s="1"/>
  <c r="Y70" i="33" s="1"/>
  <c r="W69" i="33"/>
  <c r="Y69" i="33" s="1"/>
  <c r="W66" i="33"/>
  <c r="W65" i="33"/>
  <c r="Y65" i="33" s="1"/>
  <c r="W64" i="33"/>
  <c r="Y64" i="33" s="1"/>
  <c r="X63" i="33"/>
  <c r="V63" i="33"/>
  <c r="U63" i="33"/>
  <c r="T63" i="33"/>
  <c r="S63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W61" i="33"/>
  <c r="W60" i="33"/>
  <c r="V59" i="33"/>
  <c r="U59" i="33"/>
  <c r="T59" i="33"/>
  <c r="S59" i="33"/>
  <c r="R59" i="33"/>
  <c r="Q59" i="33"/>
  <c r="P59" i="33"/>
  <c r="O59" i="33"/>
  <c r="N59" i="33"/>
  <c r="M59" i="33"/>
  <c r="L59" i="33"/>
  <c r="K59" i="33"/>
  <c r="J59" i="33"/>
  <c r="I59" i="33"/>
  <c r="H59" i="33"/>
  <c r="G59" i="33"/>
  <c r="W58" i="33"/>
  <c r="Y58" i="33" s="1"/>
  <c r="W57" i="33"/>
  <c r="Y57" i="33" s="1"/>
  <c r="W56" i="33"/>
  <c r="Y56" i="33" s="1"/>
  <c r="Y55" i="33"/>
  <c r="W55" i="33"/>
  <c r="W54" i="33"/>
  <c r="Y54" i="33" s="1"/>
  <c r="X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W53" i="33" s="1"/>
  <c r="Y53" i="33" s="1"/>
  <c r="W52" i="33"/>
  <c r="Y52" i="33" s="1"/>
  <c r="W51" i="33"/>
  <c r="Y51" i="33" s="1"/>
  <c r="W50" i="33"/>
  <c r="Y50" i="33" s="1"/>
  <c r="X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W49" i="33" s="1"/>
  <c r="Y49" i="33" s="1"/>
  <c r="W48" i="33"/>
  <c r="Y48" i="33" s="1"/>
  <c r="W47" i="33"/>
  <c r="Y47" i="33" s="1"/>
  <c r="S46" i="33"/>
  <c r="N45" i="33"/>
  <c r="R43" i="33"/>
  <c r="X42" i="33"/>
  <c r="V42" i="33"/>
  <c r="Q42" i="33"/>
  <c r="P42" i="33"/>
  <c r="M42" i="33"/>
  <c r="L42" i="33"/>
  <c r="K42" i="33"/>
  <c r="J42" i="33"/>
  <c r="H42" i="33"/>
  <c r="G42" i="33"/>
  <c r="W41" i="33"/>
  <c r="Y41" i="33" s="1"/>
  <c r="V40" i="33"/>
  <c r="U40" i="33"/>
  <c r="T40" i="33"/>
  <c r="S40" i="33"/>
  <c r="R40" i="33"/>
  <c r="Q40" i="33"/>
  <c r="Q34" i="33" s="1"/>
  <c r="P40" i="33"/>
  <c r="O40" i="33"/>
  <c r="N40" i="33"/>
  <c r="M40" i="33"/>
  <c r="M34" i="33" s="1"/>
  <c r="L40" i="33"/>
  <c r="K40" i="33"/>
  <c r="J40" i="33"/>
  <c r="I40" i="33"/>
  <c r="H40" i="33"/>
  <c r="G40" i="33"/>
  <c r="W40" i="33" s="1"/>
  <c r="Y40" i="33" s="1"/>
  <c r="W39" i="33"/>
  <c r="Y39" i="33" s="1"/>
  <c r="K39" i="33"/>
  <c r="I39" i="33"/>
  <c r="W38" i="33"/>
  <c r="Y38" i="33" s="1"/>
  <c r="W37" i="33"/>
  <c r="Y37" i="33" s="1"/>
  <c r="X36" i="33"/>
  <c r="X82" i="33" s="1"/>
  <c r="V36" i="33"/>
  <c r="U36" i="33"/>
  <c r="T36" i="33"/>
  <c r="T33" i="33" s="1"/>
  <c r="T30" i="33" s="1"/>
  <c r="S36" i="33"/>
  <c r="R36" i="33"/>
  <c r="Q36" i="33"/>
  <c r="P36" i="33"/>
  <c r="P33" i="33" s="1"/>
  <c r="P30" i="33" s="1"/>
  <c r="P62" i="33" s="1"/>
  <c r="P34" i="33" s="1"/>
  <c r="O36" i="33"/>
  <c r="N36" i="33"/>
  <c r="M36" i="33"/>
  <c r="L36" i="33"/>
  <c r="L33" i="33" s="1"/>
  <c r="L30" i="33" s="1"/>
  <c r="L62" i="33" s="1"/>
  <c r="L34" i="33" s="1"/>
  <c r="K36" i="33"/>
  <c r="J36" i="33"/>
  <c r="I36" i="33"/>
  <c r="H36" i="33"/>
  <c r="H33" i="33" s="1"/>
  <c r="H30" i="33" s="1"/>
  <c r="H62" i="33" s="1"/>
  <c r="H34" i="33" s="1"/>
  <c r="G36" i="33"/>
  <c r="W36" i="33" s="1"/>
  <c r="Y36" i="33" s="1"/>
  <c r="U35" i="33"/>
  <c r="T35" i="33"/>
  <c r="S35" i="33"/>
  <c r="R35" i="33"/>
  <c r="O35" i="33"/>
  <c r="N35" i="33"/>
  <c r="I35" i="33"/>
  <c r="X34" i="33"/>
  <c r="V33" i="33"/>
  <c r="U33" i="33"/>
  <c r="S33" i="33"/>
  <c r="R33" i="33"/>
  <c r="Q33" i="33"/>
  <c r="N33" i="33"/>
  <c r="M33" i="33"/>
  <c r="K33" i="33"/>
  <c r="J33" i="33"/>
  <c r="I33" i="33"/>
  <c r="G33" i="33"/>
  <c r="W32" i="33"/>
  <c r="V30" i="33"/>
  <c r="V62" i="33" s="1"/>
  <c r="U30" i="33"/>
  <c r="U43" i="33" s="1"/>
  <c r="S30" i="33"/>
  <c r="S62" i="33" s="1"/>
  <c r="R30" i="33"/>
  <c r="R46" i="33" s="1"/>
  <c r="Q30" i="33"/>
  <c r="Q62" i="33" s="1"/>
  <c r="N30" i="33"/>
  <c r="N44" i="33" s="1"/>
  <c r="M30" i="33"/>
  <c r="M62" i="33" s="1"/>
  <c r="K30" i="33"/>
  <c r="K62" i="33" s="1"/>
  <c r="J30" i="33"/>
  <c r="J62" i="33" s="1"/>
  <c r="I30" i="33"/>
  <c r="I45" i="33" s="1"/>
  <c r="G30" i="33"/>
  <c r="G62" i="33" s="1"/>
  <c r="Y27" i="33"/>
  <c r="W25" i="33"/>
  <c r="Y25" i="33" s="1"/>
  <c r="W24" i="33"/>
  <c r="Y24" i="33" s="1"/>
  <c r="X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W23" i="33" s="1"/>
  <c r="Y23" i="33" s="1"/>
  <c r="Y22" i="33"/>
  <c r="W22" i="33"/>
  <c r="Y21" i="33"/>
  <c r="W21" i="33"/>
  <c r="V20" i="33"/>
  <c r="U20" i="33"/>
  <c r="T20" i="33"/>
  <c r="S20" i="33"/>
  <c r="R20" i="33"/>
  <c r="O20" i="33"/>
  <c r="K20" i="33"/>
  <c r="J20" i="33"/>
  <c r="I20" i="33"/>
  <c r="I18" i="33" s="1"/>
  <c r="H20" i="33"/>
  <c r="G20" i="33"/>
  <c r="W20" i="33" s="1"/>
  <c r="Y20" i="33" s="1"/>
  <c r="W19" i="33"/>
  <c r="Y19" i="33" s="1"/>
  <c r="Y18" i="33" s="1"/>
  <c r="X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H18" i="33"/>
  <c r="G18" i="33"/>
  <c r="W17" i="33"/>
  <c r="Y17" i="33" s="1"/>
  <c r="W16" i="33"/>
  <c r="Y16" i="33" s="1"/>
  <c r="Y15" i="33"/>
  <c r="W15" i="33"/>
  <c r="X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W14" i="33" s="1"/>
  <c r="Y14" i="33" s="1"/>
  <c r="Y13" i="33"/>
  <c r="W13" i="33"/>
  <c r="X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W12" i="33" s="1"/>
  <c r="Y12" i="33" s="1"/>
  <c r="W11" i="33"/>
  <c r="Y11" i="33" s="1"/>
  <c r="X10" i="33"/>
  <c r="X26" i="33" s="1"/>
  <c r="X83" i="33" s="1"/>
  <c r="V10" i="33"/>
  <c r="V26" i="33" s="1"/>
  <c r="U10" i="33"/>
  <c r="U26" i="33" s="1"/>
  <c r="T10" i="33"/>
  <c r="T26" i="33" s="1"/>
  <c r="S10" i="33"/>
  <c r="S26" i="33" s="1"/>
  <c r="R10" i="33"/>
  <c r="R26" i="33" s="1"/>
  <c r="Q10" i="33"/>
  <c r="Q26" i="33" s="1"/>
  <c r="P10" i="33"/>
  <c r="P26" i="33" s="1"/>
  <c r="O10" i="33"/>
  <c r="O26" i="33" s="1"/>
  <c r="N10" i="33"/>
  <c r="N26" i="33" s="1"/>
  <c r="M10" i="33"/>
  <c r="M26" i="33" s="1"/>
  <c r="L10" i="33"/>
  <c r="L26" i="33" s="1"/>
  <c r="K10" i="33"/>
  <c r="K26" i="33" s="1"/>
  <c r="J10" i="33"/>
  <c r="J26" i="33" s="1"/>
  <c r="I10" i="33"/>
  <c r="H10" i="33"/>
  <c r="H26" i="33" s="1"/>
  <c r="G10" i="33"/>
  <c r="G26" i="33" s="1"/>
  <c r="W66" i="32"/>
  <c r="W65" i="32"/>
  <c r="V65" i="32"/>
  <c r="U65" i="32"/>
  <c r="T65" i="32"/>
  <c r="S65" i="32"/>
  <c r="R65" i="32"/>
  <c r="Q65" i="32"/>
  <c r="P65" i="32"/>
  <c r="O65" i="32"/>
  <c r="N65" i="32"/>
  <c r="M65" i="32"/>
  <c r="L65" i="32"/>
  <c r="K65" i="32"/>
  <c r="J65" i="32"/>
  <c r="I65" i="32"/>
  <c r="H65" i="32"/>
  <c r="G65" i="32"/>
  <c r="V66" i="32"/>
  <c r="U66" i="32"/>
  <c r="T66" i="32"/>
  <c r="S66" i="32"/>
  <c r="R66" i="32"/>
  <c r="Q66" i="32"/>
  <c r="P66" i="32"/>
  <c r="O66" i="32"/>
  <c r="N66" i="32"/>
  <c r="M66" i="32"/>
  <c r="L66" i="32"/>
  <c r="K66" i="32"/>
  <c r="J66" i="32"/>
  <c r="I66" i="32"/>
  <c r="H66" i="32"/>
  <c r="G66" i="32"/>
  <c r="W81" i="32"/>
  <c r="Y81" i="32" s="1"/>
  <c r="W80" i="32"/>
  <c r="W79" i="32"/>
  <c r="Y79" i="32" s="1"/>
  <c r="W78" i="32"/>
  <c r="Y78" i="32" s="1"/>
  <c r="W77" i="32"/>
  <c r="Y77" i="32" s="1"/>
  <c r="W76" i="32"/>
  <c r="Y76" i="32" s="1"/>
  <c r="X75" i="32"/>
  <c r="V75" i="32"/>
  <c r="U75" i="32"/>
  <c r="T75" i="32"/>
  <c r="S75" i="32"/>
  <c r="R75" i="32"/>
  <c r="Q75" i="32"/>
  <c r="P75" i="32"/>
  <c r="O75" i="32"/>
  <c r="N75" i="32"/>
  <c r="M75" i="32"/>
  <c r="L75" i="32"/>
  <c r="K75" i="32"/>
  <c r="J75" i="32"/>
  <c r="I75" i="32"/>
  <c r="H75" i="32"/>
  <c r="G75" i="32"/>
  <c r="W74" i="32"/>
  <c r="Y74" i="32" s="1"/>
  <c r="W71" i="32"/>
  <c r="Y71" i="32" s="1"/>
  <c r="X70" i="32"/>
  <c r="W67" i="32"/>
  <c r="Y67" i="32" s="1"/>
  <c r="W64" i="32"/>
  <c r="Y64" i="32" s="1"/>
  <c r="X63" i="32"/>
  <c r="W60" i="32"/>
  <c r="W57" i="32"/>
  <c r="Y57" i="32" s="1"/>
  <c r="W56" i="32"/>
  <c r="Y56" i="32" s="1"/>
  <c r="W55" i="32"/>
  <c r="Y55" i="32" s="1"/>
  <c r="V55" i="32"/>
  <c r="U55" i="32"/>
  <c r="T55" i="32"/>
  <c r="S55" i="32"/>
  <c r="S53" i="32" s="1"/>
  <c r="R55" i="32"/>
  <c r="Q55" i="32"/>
  <c r="P55" i="32"/>
  <c r="O55" i="32"/>
  <c r="O53" i="32" s="1"/>
  <c r="N55" i="32"/>
  <c r="M55" i="32"/>
  <c r="L55" i="32"/>
  <c r="K55" i="32"/>
  <c r="K53" i="32" s="1"/>
  <c r="J55" i="32"/>
  <c r="I55" i="32"/>
  <c r="H55" i="32"/>
  <c r="G55" i="32"/>
  <c r="G53" i="32" s="1"/>
  <c r="W53" i="32" s="1"/>
  <c r="Y53" i="32" s="1"/>
  <c r="W54" i="32"/>
  <c r="Y54" i="32" s="1"/>
  <c r="X53" i="32"/>
  <c r="V53" i="32"/>
  <c r="U53" i="32"/>
  <c r="T53" i="32"/>
  <c r="R53" i="32"/>
  <c r="Q53" i="32"/>
  <c r="P53" i="32"/>
  <c r="N53" i="32"/>
  <c r="M53" i="32"/>
  <c r="L53" i="32"/>
  <c r="J53" i="32"/>
  <c r="I53" i="32"/>
  <c r="H53" i="32"/>
  <c r="W52" i="32"/>
  <c r="Y52" i="32" s="1"/>
  <c r="W50" i="32"/>
  <c r="Y50" i="32" s="1"/>
  <c r="X49" i="32"/>
  <c r="W48" i="32"/>
  <c r="Y48" i="32" s="1"/>
  <c r="W47" i="32"/>
  <c r="Y47" i="32" s="1"/>
  <c r="X42" i="32"/>
  <c r="Y41" i="32"/>
  <c r="W41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W40" i="32" s="1"/>
  <c r="Y40" i="32" s="1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W39" i="32" s="1"/>
  <c r="Y39" i="32" s="1"/>
  <c r="W38" i="32"/>
  <c r="Y38" i="32" s="1"/>
  <c r="V37" i="32"/>
  <c r="V36" i="32" s="1"/>
  <c r="U37" i="32"/>
  <c r="T37" i="32"/>
  <c r="S37" i="32"/>
  <c r="R37" i="32"/>
  <c r="R36" i="32" s="1"/>
  <c r="Q37" i="32"/>
  <c r="P37" i="32"/>
  <c r="O37" i="32"/>
  <c r="N37" i="32"/>
  <c r="N36" i="32" s="1"/>
  <c r="M37" i="32"/>
  <c r="L37" i="32"/>
  <c r="K37" i="32"/>
  <c r="J37" i="32"/>
  <c r="J36" i="32" s="1"/>
  <c r="I37" i="32"/>
  <c r="H37" i="32"/>
  <c r="G37" i="32"/>
  <c r="W37" i="32" s="1"/>
  <c r="Y37" i="32" s="1"/>
  <c r="X36" i="32"/>
  <c r="U36" i="32"/>
  <c r="U33" i="32" s="1"/>
  <c r="U30" i="32" s="1"/>
  <c r="T36" i="32"/>
  <c r="S36" i="32"/>
  <c r="Q36" i="32"/>
  <c r="Q33" i="32" s="1"/>
  <c r="Q30" i="32" s="1"/>
  <c r="P36" i="32"/>
  <c r="O36" i="32"/>
  <c r="M36" i="32"/>
  <c r="M33" i="32" s="1"/>
  <c r="M30" i="32" s="1"/>
  <c r="L36" i="32"/>
  <c r="K36" i="32"/>
  <c r="I36" i="32"/>
  <c r="I33" i="32" s="1"/>
  <c r="I30" i="32" s="1"/>
  <c r="H36" i="32"/>
  <c r="G36" i="32"/>
  <c r="W36" i="32" s="1"/>
  <c r="Y36" i="32" s="1"/>
  <c r="V35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S33" i="32"/>
  <c r="O33" i="32"/>
  <c r="K33" i="32"/>
  <c r="G33" i="32"/>
  <c r="W32" i="32"/>
  <c r="S30" i="32"/>
  <c r="S44" i="32" s="1"/>
  <c r="O30" i="32"/>
  <c r="O62" i="32" s="1"/>
  <c r="K30" i="32"/>
  <c r="G30" i="32"/>
  <c r="G45" i="32" s="1"/>
  <c r="Y27" i="32"/>
  <c r="W25" i="32"/>
  <c r="Y25" i="32" s="1"/>
  <c r="W24" i="32"/>
  <c r="Y24" i="32" s="1"/>
  <c r="X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Y22" i="32"/>
  <c r="W22" i="32"/>
  <c r="Y21" i="32"/>
  <c r="W21" i="32"/>
  <c r="V20" i="32"/>
  <c r="U20" i="32"/>
  <c r="T20" i="32"/>
  <c r="T18" i="32" s="1"/>
  <c r="S20" i="32"/>
  <c r="R20" i="32"/>
  <c r="O20" i="32"/>
  <c r="K20" i="32"/>
  <c r="K18" i="32" s="1"/>
  <c r="J20" i="32"/>
  <c r="J18" i="32" s="1"/>
  <c r="I20" i="32"/>
  <c r="I18" i="32" s="1"/>
  <c r="H20" i="32"/>
  <c r="G20" i="32"/>
  <c r="Y19" i="32"/>
  <c r="W19" i="32"/>
  <c r="X18" i="32"/>
  <c r="V18" i="32"/>
  <c r="U18" i="32"/>
  <c r="S18" i="32"/>
  <c r="R18" i="32"/>
  <c r="Q18" i="32"/>
  <c r="P18" i="32"/>
  <c r="O18" i="32"/>
  <c r="N18" i="32"/>
  <c r="M18" i="32"/>
  <c r="L18" i="32"/>
  <c r="H18" i="32"/>
  <c r="W17" i="32"/>
  <c r="Y17" i="32" s="1"/>
  <c r="W16" i="32"/>
  <c r="Y16" i="32" s="1"/>
  <c r="W15" i="32"/>
  <c r="Y15" i="32" s="1"/>
  <c r="X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W13" i="32"/>
  <c r="Y13" i="32" s="1"/>
  <c r="X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W12" i="32" s="1"/>
  <c r="Y12" i="32" s="1"/>
  <c r="W11" i="32"/>
  <c r="Y11" i="32" s="1"/>
  <c r="X10" i="32"/>
  <c r="X26" i="32" s="1"/>
  <c r="V10" i="32"/>
  <c r="V26" i="32" s="1"/>
  <c r="U10" i="32"/>
  <c r="T10" i="32"/>
  <c r="S10" i="32"/>
  <c r="S26" i="32" s="1"/>
  <c r="R10" i="32"/>
  <c r="Q10" i="32"/>
  <c r="P10" i="32"/>
  <c r="P26" i="32" s="1"/>
  <c r="O10" i="32"/>
  <c r="O26" i="32" s="1"/>
  <c r="N10" i="32"/>
  <c r="M10" i="32"/>
  <c r="L10" i="32"/>
  <c r="L26" i="32" s="1"/>
  <c r="K10" i="32"/>
  <c r="K26" i="32" s="1"/>
  <c r="J10" i="32"/>
  <c r="I10" i="32"/>
  <c r="H10" i="32"/>
  <c r="H26" i="32" s="1"/>
  <c r="G10" i="32"/>
  <c r="AB35" i="34" l="1"/>
  <c r="Z62" i="34"/>
  <c r="AB62" i="34" s="1"/>
  <c r="Q83" i="34"/>
  <c r="Z18" i="34"/>
  <c r="Z26" i="34" s="1"/>
  <c r="I45" i="34"/>
  <c r="I44" i="34"/>
  <c r="Z44" i="34" s="1"/>
  <c r="AB44" i="34" s="1"/>
  <c r="N83" i="34"/>
  <c r="J83" i="34"/>
  <c r="R83" i="34"/>
  <c r="I43" i="34"/>
  <c r="I46" i="34"/>
  <c r="Z46" i="34" s="1"/>
  <c r="AB46" i="34" s="1"/>
  <c r="T42" i="34"/>
  <c r="T34" i="34" s="1"/>
  <c r="U42" i="34"/>
  <c r="O42" i="34"/>
  <c r="H31" i="34"/>
  <c r="Z31" i="34" s="1"/>
  <c r="H83" i="34"/>
  <c r="Z43" i="34"/>
  <c r="AB43" i="34" s="1"/>
  <c r="S42" i="34"/>
  <c r="V42" i="34"/>
  <c r="Z45" i="34"/>
  <c r="AB45" i="34" s="1"/>
  <c r="P42" i="34"/>
  <c r="AB10" i="34"/>
  <c r="AB26" i="34" s="1"/>
  <c r="W59" i="33"/>
  <c r="Y59" i="33" s="1"/>
  <c r="G83" i="33"/>
  <c r="G31" i="33"/>
  <c r="O31" i="33"/>
  <c r="J31" i="33"/>
  <c r="N31" i="33"/>
  <c r="R31" i="33"/>
  <c r="V31" i="33"/>
  <c r="J82" i="33"/>
  <c r="J83" i="33" s="1"/>
  <c r="V82" i="33"/>
  <c r="V83" i="33" s="1"/>
  <c r="K83" i="33"/>
  <c r="K31" i="33"/>
  <c r="S31" i="33"/>
  <c r="K34" i="33"/>
  <c r="K82" i="33"/>
  <c r="H31" i="33"/>
  <c r="L31" i="33"/>
  <c r="T31" i="33"/>
  <c r="G34" i="33"/>
  <c r="G82" i="33"/>
  <c r="T44" i="33"/>
  <c r="T62" i="33"/>
  <c r="T43" i="33"/>
  <c r="T45" i="33"/>
  <c r="T46" i="33"/>
  <c r="R42" i="33"/>
  <c r="R82" i="33" s="1"/>
  <c r="R83" i="33" s="1"/>
  <c r="P31" i="33"/>
  <c r="I26" i="33"/>
  <c r="M31" i="33"/>
  <c r="Q83" i="33"/>
  <c r="Q31" i="33"/>
  <c r="U31" i="33"/>
  <c r="M82" i="33"/>
  <c r="M83" i="33" s="1"/>
  <c r="Q82" i="33"/>
  <c r="J34" i="33"/>
  <c r="V34" i="33"/>
  <c r="W18" i="33"/>
  <c r="W35" i="33"/>
  <c r="I43" i="33"/>
  <c r="S43" i="33"/>
  <c r="R44" i="33"/>
  <c r="U45" i="33"/>
  <c r="N46" i="33"/>
  <c r="I62" i="33"/>
  <c r="U62" i="33"/>
  <c r="W63" i="33"/>
  <c r="Y63" i="33" s="1"/>
  <c r="H82" i="33"/>
  <c r="H83" i="33" s="1"/>
  <c r="L82" i="33"/>
  <c r="L83" i="33" s="1"/>
  <c r="P82" i="33"/>
  <c r="P83" i="33" s="1"/>
  <c r="U44" i="33"/>
  <c r="U42" i="33" s="1"/>
  <c r="W10" i="33"/>
  <c r="O33" i="33"/>
  <c r="O30" i="33" s="1"/>
  <c r="N43" i="33"/>
  <c r="N42" i="33" s="1"/>
  <c r="N34" i="33" s="1"/>
  <c r="I44" i="33"/>
  <c r="S44" i="33"/>
  <c r="R45" i="33"/>
  <c r="U46" i="33"/>
  <c r="N62" i="33"/>
  <c r="R62" i="33"/>
  <c r="I46" i="33"/>
  <c r="S45" i="33"/>
  <c r="S31" i="32"/>
  <c r="N33" i="32"/>
  <c r="N30" i="32" s="1"/>
  <c r="J26" i="32"/>
  <c r="N26" i="32"/>
  <c r="R26" i="32"/>
  <c r="V31" i="32"/>
  <c r="U72" i="32"/>
  <c r="U68" i="32"/>
  <c r="U63" i="32" s="1"/>
  <c r="U62" i="32"/>
  <c r="U46" i="32"/>
  <c r="U73" i="32"/>
  <c r="U61" i="32"/>
  <c r="U59" i="32" s="1"/>
  <c r="U51" i="32"/>
  <c r="U49" i="32" s="1"/>
  <c r="U69" i="32"/>
  <c r="U58" i="32"/>
  <c r="U44" i="32"/>
  <c r="U45" i="32"/>
  <c r="U43" i="32"/>
  <c r="U42" i="32" s="1"/>
  <c r="O31" i="32"/>
  <c r="W10" i="32"/>
  <c r="J33" i="32"/>
  <c r="J30" i="32" s="1"/>
  <c r="V33" i="32"/>
  <c r="V30" i="32" s="1"/>
  <c r="L31" i="32"/>
  <c r="T26" i="32"/>
  <c r="W23" i="32"/>
  <c r="Y23" i="32" s="1"/>
  <c r="M72" i="32"/>
  <c r="M68" i="32"/>
  <c r="M63" i="32" s="1"/>
  <c r="M62" i="32"/>
  <c r="M46" i="32"/>
  <c r="M73" i="32"/>
  <c r="M61" i="32"/>
  <c r="M59" i="32" s="1"/>
  <c r="M51" i="32"/>
  <c r="M49" i="32" s="1"/>
  <c r="M45" i="32"/>
  <c r="M44" i="32"/>
  <c r="M69" i="32"/>
  <c r="M58" i="32"/>
  <c r="M43" i="32"/>
  <c r="M42" i="32" s="1"/>
  <c r="K31" i="32"/>
  <c r="Q72" i="32"/>
  <c r="Q68" i="32"/>
  <c r="Q63" i="32" s="1"/>
  <c r="Q62" i="32"/>
  <c r="Q46" i="32"/>
  <c r="Q73" i="32"/>
  <c r="Q61" i="32"/>
  <c r="Q59" i="32" s="1"/>
  <c r="Q51" i="32"/>
  <c r="Q49" i="32" s="1"/>
  <c r="Q44" i="32"/>
  <c r="Q69" i="32"/>
  <c r="Q58" i="32"/>
  <c r="Q43" i="32"/>
  <c r="Q42" i="32" s="1"/>
  <c r="Q45" i="32"/>
  <c r="R33" i="32"/>
  <c r="R30" i="32" s="1"/>
  <c r="H31" i="32"/>
  <c r="P31" i="32"/>
  <c r="W20" i="32"/>
  <c r="G18" i="32"/>
  <c r="G26" i="32" s="1"/>
  <c r="I26" i="32"/>
  <c r="M26" i="32"/>
  <c r="Q26" i="32"/>
  <c r="U26" i="32"/>
  <c r="W14" i="32"/>
  <c r="Y14" i="32" s="1"/>
  <c r="I72" i="32"/>
  <c r="I68" i="32"/>
  <c r="I63" i="32" s="1"/>
  <c r="I62" i="32"/>
  <c r="I46" i="32"/>
  <c r="I73" i="32"/>
  <c r="I61" i="32"/>
  <c r="I59" i="32" s="1"/>
  <c r="I51" i="32"/>
  <c r="I49" i="32" s="1"/>
  <c r="I44" i="32"/>
  <c r="I43" i="32"/>
  <c r="I42" i="32" s="1"/>
  <c r="I69" i="32"/>
  <c r="I58" i="32"/>
  <c r="I45" i="32"/>
  <c r="K73" i="32"/>
  <c r="K61" i="32"/>
  <c r="K59" i="32" s="1"/>
  <c r="K51" i="32"/>
  <c r="K49" i="32" s="1"/>
  <c r="K69" i="32"/>
  <c r="K58" i="32"/>
  <c r="K72" i="32"/>
  <c r="K68" i="32"/>
  <c r="K63" i="32" s="1"/>
  <c r="O44" i="32"/>
  <c r="S62" i="32"/>
  <c r="X82" i="32"/>
  <c r="X83" i="32" s="1"/>
  <c r="O46" i="32"/>
  <c r="G73" i="32"/>
  <c r="G61" i="32"/>
  <c r="G51" i="32"/>
  <c r="G69" i="32"/>
  <c r="G58" i="32"/>
  <c r="G72" i="32"/>
  <c r="G68" i="32"/>
  <c r="S73" i="32"/>
  <c r="S61" i="32"/>
  <c r="S59" i="32" s="1"/>
  <c r="S51" i="32"/>
  <c r="S49" i="32" s="1"/>
  <c r="S69" i="32"/>
  <c r="S58" i="32"/>
  <c r="S45" i="32"/>
  <c r="S72" i="32"/>
  <c r="S70" i="32" s="1"/>
  <c r="S68" i="32"/>
  <c r="S63" i="32" s="1"/>
  <c r="W35" i="32"/>
  <c r="K44" i="32"/>
  <c r="S46" i="32"/>
  <c r="H33" i="32"/>
  <c r="H30" i="32" s="1"/>
  <c r="L33" i="32"/>
  <c r="L30" i="32" s="1"/>
  <c r="P33" i="32"/>
  <c r="P30" i="32" s="1"/>
  <c r="T33" i="32"/>
  <c r="T30" i="32" s="1"/>
  <c r="K45" i="32"/>
  <c r="G46" i="32"/>
  <c r="G62" i="32"/>
  <c r="O73" i="32"/>
  <c r="O61" i="32"/>
  <c r="O59" i="32" s="1"/>
  <c r="O51" i="32"/>
  <c r="O49" i="32" s="1"/>
  <c r="O69" i="32"/>
  <c r="O58" i="32"/>
  <c r="O45" i="32"/>
  <c r="O72" i="32"/>
  <c r="O70" i="32" s="1"/>
  <c r="O68" i="32"/>
  <c r="O63" i="32" s="1"/>
  <c r="G44" i="32"/>
  <c r="X34" i="32"/>
  <c r="G43" i="32"/>
  <c r="K43" i="32"/>
  <c r="K42" i="32" s="1"/>
  <c r="O43" i="32"/>
  <c r="S43" i="32"/>
  <c r="K46" i="32"/>
  <c r="K62" i="32"/>
  <c r="W75" i="32"/>
  <c r="Y75" i="32" s="1"/>
  <c r="G68" i="17"/>
  <c r="I42" i="34" l="1"/>
  <c r="Z42" i="34" s="1"/>
  <c r="T82" i="34"/>
  <c r="T83" i="34" s="1"/>
  <c r="P34" i="34"/>
  <c r="P82" i="34"/>
  <c r="P83" i="34" s="1"/>
  <c r="V34" i="34"/>
  <c r="V82" i="34"/>
  <c r="V83" i="34" s="1"/>
  <c r="U34" i="34"/>
  <c r="U82" i="34"/>
  <c r="U83" i="34" s="1"/>
  <c r="S34" i="34"/>
  <c r="S82" i="34"/>
  <c r="S83" i="34" s="1"/>
  <c r="I34" i="34"/>
  <c r="I82" i="34"/>
  <c r="I83" i="34" s="1"/>
  <c r="O82" i="34"/>
  <c r="O83" i="34" s="1"/>
  <c r="O34" i="34"/>
  <c r="W62" i="33"/>
  <c r="Y62" i="33" s="1"/>
  <c r="U82" i="33"/>
  <c r="U83" i="33" s="1"/>
  <c r="U34" i="33"/>
  <c r="Y35" i="33"/>
  <c r="W33" i="33"/>
  <c r="W30" i="33" s="1"/>
  <c r="N82" i="33"/>
  <c r="N83" i="33" s="1"/>
  <c r="W46" i="33"/>
  <c r="Y46" i="33" s="1"/>
  <c r="O62" i="33"/>
  <c r="O43" i="33"/>
  <c r="O46" i="33"/>
  <c r="O45" i="33"/>
  <c r="W45" i="33" s="1"/>
  <c r="Y45" i="33" s="1"/>
  <c r="O44" i="33"/>
  <c r="I31" i="33"/>
  <c r="W26" i="33"/>
  <c r="Y10" i="33"/>
  <c r="Y26" i="33" s="1"/>
  <c r="S42" i="33"/>
  <c r="W44" i="33"/>
  <c r="Y44" i="33" s="1"/>
  <c r="W43" i="33"/>
  <c r="Y43" i="33" s="1"/>
  <c r="I42" i="33"/>
  <c r="T42" i="33"/>
  <c r="W31" i="33"/>
  <c r="R34" i="33"/>
  <c r="G31" i="32"/>
  <c r="M31" i="32"/>
  <c r="R31" i="32"/>
  <c r="S42" i="32"/>
  <c r="S34" i="32" s="1"/>
  <c r="S82" i="32" s="1"/>
  <c r="S83" i="32" s="1"/>
  <c r="O42" i="32"/>
  <c r="O34" i="32" s="1"/>
  <c r="O82" i="32" s="1"/>
  <c r="O83" i="32" s="1"/>
  <c r="T69" i="32"/>
  <c r="T58" i="32"/>
  <c r="T45" i="32"/>
  <c r="T72" i="32"/>
  <c r="T68" i="32"/>
  <c r="T63" i="32" s="1"/>
  <c r="T62" i="32"/>
  <c r="T46" i="32"/>
  <c r="T73" i="32"/>
  <c r="T51" i="32"/>
  <c r="T49" i="32" s="1"/>
  <c r="T44" i="32"/>
  <c r="T43" i="32"/>
  <c r="T61" i="32"/>
  <c r="T59" i="32" s="1"/>
  <c r="G70" i="32"/>
  <c r="G59" i="32"/>
  <c r="Q31" i="32"/>
  <c r="W18" i="32"/>
  <c r="Y20" i="32"/>
  <c r="Y18" i="32" s="1"/>
  <c r="U70" i="32"/>
  <c r="U34" i="32" s="1"/>
  <c r="U82" i="32" s="1"/>
  <c r="U83" i="32" s="1"/>
  <c r="P69" i="32"/>
  <c r="P58" i="32"/>
  <c r="P45" i="32"/>
  <c r="P72" i="32"/>
  <c r="P68" i="32"/>
  <c r="P63" i="32" s="1"/>
  <c r="P62" i="32"/>
  <c r="P46" i="32"/>
  <c r="P73" i="32"/>
  <c r="P51" i="32"/>
  <c r="P49" i="32" s="1"/>
  <c r="P44" i="32"/>
  <c r="P61" i="32"/>
  <c r="P59" i="32" s="1"/>
  <c r="P43" i="32"/>
  <c r="W58" i="32"/>
  <c r="Y58" i="32" s="1"/>
  <c r="I70" i="32"/>
  <c r="I34" i="32" s="1"/>
  <c r="I82" i="32" s="1"/>
  <c r="I83" i="32" s="1"/>
  <c r="G42" i="32"/>
  <c r="W46" i="32"/>
  <c r="Y46" i="32" s="1"/>
  <c r="L69" i="32"/>
  <c r="L58" i="32"/>
  <c r="L45" i="32"/>
  <c r="L72" i="32"/>
  <c r="L70" i="32" s="1"/>
  <c r="L68" i="32"/>
  <c r="L63" i="32" s="1"/>
  <c r="L62" i="32"/>
  <c r="L46" i="32"/>
  <c r="L61" i="32"/>
  <c r="L59" i="32" s="1"/>
  <c r="L44" i="32"/>
  <c r="L73" i="32"/>
  <c r="L43" i="32"/>
  <c r="L51" i="32"/>
  <c r="L49" i="32" s="1"/>
  <c r="Y35" i="32"/>
  <c r="W33" i="32"/>
  <c r="W30" i="32" s="1"/>
  <c r="I31" i="32"/>
  <c r="R62" i="32"/>
  <c r="R46" i="32"/>
  <c r="R44" i="32"/>
  <c r="R73" i="32"/>
  <c r="R61" i="32"/>
  <c r="R59" i="32" s="1"/>
  <c r="R51" i="32"/>
  <c r="R49" i="32" s="1"/>
  <c r="R69" i="32"/>
  <c r="R58" i="32"/>
  <c r="R45" i="32"/>
  <c r="R72" i="32"/>
  <c r="R70" i="32" s="1"/>
  <c r="R68" i="32"/>
  <c r="R63" i="32" s="1"/>
  <c r="R43" i="32"/>
  <c r="T31" i="32"/>
  <c r="Y10" i="32"/>
  <c r="Y26" i="32" s="1"/>
  <c r="W26" i="32"/>
  <c r="N31" i="32"/>
  <c r="V62" i="32"/>
  <c r="V46" i="32"/>
  <c r="V44" i="32"/>
  <c r="V73" i="32"/>
  <c r="V61" i="32"/>
  <c r="V59" i="32" s="1"/>
  <c r="V51" i="32"/>
  <c r="V49" i="32" s="1"/>
  <c r="V69" i="32"/>
  <c r="V58" i="32"/>
  <c r="V45" i="32"/>
  <c r="V72" i="32"/>
  <c r="V70" i="32" s="1"/>
  <c r="V68" i="32"/>
  <c r="V63" i="32" s="1"/>
  <c r="V43" i="32"/>
  <c r="N62" i="32"/>
  <c r="N46" i="32"/>
  <c r="N73" i="32"/>
  <c r="N61" i="32"/>
  <c r="N59" i="32" s="1"/>
  <c r="N51" i="32"/>
  <c r="N49" i="32" s="1"/>
  <c r="N69" i="32"/>
  <c r="N58" i="32"/>
  <c r="N45" i="32"/>
  <c r="N72" i="32"/>
  <c r="N70" i="32" s="1"/>
  <c r="N43" i="32"/>
  <c r="N42" i="32" s="1"/>
  <c r="N44" i="32"/>
  <c r="N68" i="32"/>
  <c r="N63" i="32" s="1"/>
  <c r="H69" i="32"/>
  <c r="W69" i="32" s="1"/>
  <c r="Y69" i="32" s="1"/>
  <c r="H58" i="32"/>
  <c r="H45" i="32"/>
  <c r="H72" i="32"/>
  <c r="H68" i="32"/>
  <c r="H63" i="32" s="1"/>
  <c r="H62" i="32"/>
  <c r="W62" i="32" s="1"/>
  <c r="Y62" i="32" s="1"/>
  <c r="H46" i="32"/>
  <c r="H61" i="32"/>
  <c r="H59" i="32" s="1"/>
  <c r="H44" i="32"/>
  <c r="W44" i="32" s="1"/>
  <c r="Y44" i="32" s="1"/>
  <c r="H73" i="32"/>
  <c r="W73" i="32" s="1"/>
  <c r="Y73" i="32" s="1"/>
  <c r="H51" i="32"/>
  <c r="H49" i="32" s="1"/>
  <c r="H43" i="32"/>
  <c r="G63" i="32"/>
  <c r="G49" i="32"/>
  <c r="K70" i="32"/>
  <c r="K34" i="32" s="1"/>
  <c r="K82" i="32" s="1"/>
  <c r="K83" i="32" s="1"/>
  <c r="U31" i="32"/>
  <c r="Q70" i="32"/>
  <c r="Q34" i="32" s="1"/>
  <c r="Q82" i="32" s="1"/>
  <c r="Q83" i="32" s="1"/>
  <c r="M70" i="32"/>
  <c r="M34" i="32" s="1"/>
  <c r="M82" i="32" s="1"/>
  <c r="M83" i="32" s="1"/>
  <c r="J62" i="32"/>
  <c r="J46" i="32"/>
  <c r="J73" i="32"/>
  <c r="J61" i="32"/>
  <c r="J59" i="32" s="1"/>
  <c r="J51" i="32"/>
  <c r="J49" i="32" s="1"/>
  <c r="J69" i="32"/>
  <c r="J58" i="32"/>
  <c r="J45" i="32"/>
  <c r="J43" i="32"/>
  <c r="J72" i="32"/>
  <c r="J68" i="32"/>
  <c r="J63" i="32" s="1"/>
  <c r="J44" i="32"/>
  <c r="J31" i="32"/>
  <c r="K59" i="17"/>
  <c r="AB42" i="34" l="1"/>
  <c r="AB83" i="34" s="1"/>
  <c r="Z34" i="34"/>
  <c r="Z82" i="34"/>
  <c r="T34" i="33"/>
  <c r="T82" i="33"/>
  <c r="T83" i="33" s="1"/>
  <c r="S34" i="33"/>
  <c r="S82" i="33"/>
  <c r="S83" i="33" s="1"/>
  <c r="O42" i="33"/>
  <c r="W42" i="33"/>
  <c r="I82" i="33"/>
  <c r="I83" i="33" s="1"/>
  <c r="I34" i="33"/>
  <c r="J42" i="32"/>
  <c r="W68" i="32"/>
  <c r="W63" i="32" s="1"/>
  <c r="Y63" i="32" s="1"/>
  <c r="N34" i="32"/>
  <c r="N82" i="32" s="1"/>
  <c r="N83" i="32" s="1"/>
  <c r="W61" i="32"/>
  <c r="W59" i="32" s="1"/>
  <c r="Y59" i="32" s="1"/>
  <c r="T42" i="32"/>
  <c r="W49" i="32"/>
  <c r="Y49" i="32" s="1"/>
  <c r="H42" i="32"/>
  <c r="H34" i="32" s="1"/>
  <c r="H82" i="32" s="1"/>
  <c r="H83" i="32" s="1"/>
  <c r="H70" i="32"/>
  <c r="V42" i="32"/>
  <c r="V34" i="32" s="1"/>
  <c r="V82" i="32" s="1"/>
  <c r="V83" i="32" s="1"/>
  <c r="R42" i="32"/>
  <c r="R34" i="32" s="1"/>
  <c r="R82" i="32" s="1"/>
  <c r="R83" i="32" s="1"/>
  <c r="L42" i="32"/>
  <c r="L34" i="32" s="1"/>
  <c r="L82" i="32" s="1"/>
  <c r="L83" i="32" s="1"/>
  <c r="G34" i="32"/>
  <c r="G82" i="32" s="1"/>
  <c r="G83" i="32" s="1"/>
  <c r="P42" i="32"/>
  <c r="P34" i="32" s="1"/>
  <c r="P82" i="32" s="1"/>
  <c r="P83" i="32" s="1"/>
  <c r="P70" i="32"/>
  <c r="W72" i="32"/>
  <c r="Y72" i="32" s="1"/>
  <c r="W31" i="32"/>
  <c r="W70" i="32"/>
  <c r="Y70" i="32" s="1"/>
  <c r="J70" i="32"/>
  <c r="W51" i="32"/>
  <c r="Y51" i="32" s="1"/>
  <c r="W45" i="32"/>
  <c r="Y45" i="32" s="1"/>
  <c r="W43" i="32"/>
  <c r="Y43" i="32" s="1"/>
  <c r="T70" i="32"/>
  <c r="W55" i="17"/>
  <c r="Y79" i="17"/>
  <c r="W79" i="17"/>
  <c r="W78" i="17"/>
  <c r="Y77" i="17"/>
  <c r="W77" i="17"/>
  <c r="W76" i="17"/>
  <c r="Y76" i="17" s="1"/>
  <c r="Y75" i="17"/>
  <c r="W75" i="17"/>
  <c r="W74" i="17"/>
  <c r="Y74" i="17" s="1"/>
  <c r="X73" i="17"/>
  <c r="V73" i="17"/>
  <c r="U73" i="17"/>
  <c r="T73" i="17"/>
  <c r="S73" i="17"/>
  <c r="R73" i="17"/>
  <c r="Q73" i="17"/>
  <c r="P73" i="17"/>
  <c r="O73" i="17"/>
  <c r="N73" i="17"/>
  <c r="M73" i="17"/>
  <c r="L73" i="17"/>
  <c r="K73" i="17"/>
  <c r="J73" i="17"/>
  <c r="I73" i="17"/>
  <c r="H73" i="17"/>
  <c r="G73" i="17"/>
  <c r="W73" i="17" s="1"/>
  <c r="Y73" i="17" s="1"/>
  <c r="Y72" i="17"/>
  <c r="W72" i="17"/>
  <c r="Y69" i="17"/>
  <c r="W69" i="17"/>
  <c r="X68" i="17"/>
  <c r="Y65" i="17"/>
  <c r="W65" i="17"/>
  <c r="Y64" i="17"/>
  <c r="W64" i="17"/>
  <c r="X63" i="17"/>
  <c r="W60" i="17"/>
  <c r="W57" i="17"/>
  <c r="Y57" i="17" s="1"/>
  <c r="W56" i="17"/>
  <c r="Y56" i="17" s="1"/>
  <c r="U53" i="17"/>
  <c r="S53" i="17"/>
  <c r="Q53" i="17"/>
  <c r="P53" i="17"/>
  <c r="O53" i="17"/>
  <c r="L53" i="17"/>
  <c r="K53" i="17"/>
  <c r="I53" i="17"/>
  <c r="G53" i="17"/>
  <c r="W54" i="17"/>
  <c r="Y54" i="17" s="1"/>
  <c r="X53" i="17"/>
  <c r="V53" i="17"/>
  <c r="T53" i="17"/>
  <c r="R53" i="17"/>
  <c r="N53" i="17"/>
  <c r="M53" i="17"/>
  <c r="J53" i="17"/>
  <c r="H53" i="17"/>
  <c r="W52" i="17"/>
  <c r="Y52" i="17" s="1"/>
  <c r="Y50" i="17"/>
  <c r="W50" i="17"/>
  <c r="X49" i="17"/>
  <c r="W48" i="17"/>
  <c r="Y48" i="17" s="1"/>
  <c r="W47" i="17"/>
  <c r="Y47" i="17" s="1"/>
  <c r="X42" i="17"/>
  <c r="Y41" i="17"/>
  <c r="W41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W40" i="17" s="1"/>
  <c r="Y40" i="17" s="1"/>
  <c r="K39" i="17"/>
  <c r="I39" i="17"/>
  <c r="Y38" i="17"/>
  <c r="W38" i="17"/>
  <c r="U36" i="17"/>
  <c r="T36" i="17"/>
  <c r="Q36" i="17"/>
  <c r="P36" i="17"/>
  <c r="I36" i="17"/>
  <c r="X36" i="17"/>
  <c r="X80" i="17" s="1"/>
  <c r="S36" i="17"/>
  <c r="S33" i="17" s="1"/>
  <c r="S30" i="17" s="1"/>
  <c r="O36" i="17"/>
  <c r="O33" i="17" s="1"/>
  <c r="O30" i="17" s="1"/>
  <c r="M36" i="17"/>
  <c r="M33" i="17" s="1"/>
  <c r="M30" i="17" s="1"/>
  <c r="L36" i="17"/>
  <c r="K36" i="17"/>
  <c r="H36" i="17"/>
  <c r="G36" i="17"/>
  <c r="U35" i="17"/>
  <c r="T35" i="17"/>
  <c r="S35" i="17"/>
  <c r="R35" i="17"/>
  <c r="O35" i="17"/>
  <c r="N35" i="17"/>
  <c r="I35" i="17"/>
  <c r="X34" i="17"/>
  <c r="K33" i="17"/>
  <c r="K30" i="17" s="1"/>
  <c r="K63" i="17" s="1"/>
  <c r="W32" i="17"/>
  <c r="Y27" i="17"/>
  <c r="Y25" i="17"/>
  <c r="W25" i="17"/>
  <c r="W24" i="17"/>
  <c r="Y24" i="17" s="1"/>
  <c r="X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W23" i="17" s="1"/>
  <c r="Y23" i="17" s="1"/>
  <c r="W22" i="17"/>
  <c r="Y22" i="17" s="1"/>
  <c r="Y21" i="17"/>
  <c r="W21" i="17"/>
  <c r="V20" i="17"/>
  <c r="U20" i="17"/>
  <c r="T20" i="17"/>
  <c r="S20" i="17"/>
  <c r="R20" i="17"/>
  <c r="O20" i="17"/>
  <c r="K20" i="17"/>
  <c r="J20" i="17"/>
  <c r="W20" i="17" s="1"/>
  <c r="I20" i="17"/>
  <c r="I18" i="17" s="1"/>
  <c r="H20" i="17"/>
  <c r="G20" i="17"/>
  <c r="Y19" i="17"/>
  <c r="W19" i="17"/>
  <c r="X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H18" i="17"/>
  <c r="G18" i="17"/>
  <c r="Y17" i="17"/>
  <c r="W17" i="17"/>
  <c r="W16" i="17"/>
  <c r="Y16" i="17" s="1"/>
  <c r="Y15" i="17"/>
  <c r="W15" i="17"/>
  <c r="X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W14" i="17" s="1"/>
  <c r="Y14" i="17" s="1"/>
  <c r="W13" i="17"/>
  <c r="Y13" i="17" s="1"/>
  <c r="X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W12" i="17" s="1"/>
  <c r="Y12" i="17" s="1"/>
  <c r="W11" i="17"/>
  <c r="Y11" i="17" s="1"/>
  <c r="X10" i="17"/>
  <c r="V10" i="17"/>
  <c r="V26" i="17" s="1"/>
  <c r="U10" i="17"/>
  <c r="U26" i="17" s="1"/>
  <c r="T10" i="17"/>
  <c r="T26" i="17" s="1"/>
  <c r="S10" i="17"/>
  <c r="S26" i="17" s="1"/>
  <c r="R10" i="17"/>
  <c r="R26" i="17" s="1"/>
  <c r="Q10" i="17"/>
  <c r="Q26" i="17" s="1"/>
  <c r="P10" i="17"/>
  <c r="P26" i="17" s="1"/>
  <c r="O10" i="17"/>
  <c r="O26" i="17" s="1"/>
  <c r="N10" i="17"/>
  <c r="N26" i="17" s="1"/>
  <c r="M10" i="17"/>
  <c r="M26" i="17" s="1"/>
  <c r="L10" i="17"/>
  <c r="L26" i="17" s="1"/>
  <c r="K10" i="17"/>
  <c r="K26" i="17" s="1"/>
  <c r="J10" i="17"/>
  <c r="I10" i="17"/>
  <c r="H10" i="17"/>
  <c r="H26" i="17" s="1"/>
  <c r="G10" i="17"/>
  <c r="G26" i="17" s="1"/>
  <c r="AB85" i="34" l="1"/>
  <c r="AA85" i="34"/>
  <c r="AB82" i="34"/>
  <c r="Z83" i="34"/>
  <c r="AB34" i="34"/>
  <c r="AA32" i="34"/>
  <c r="O34" i="33"/>
  <c r="O82" i="33"/>
  <c r="O83" i="33" s="1"/>
  <c r="Y42" i="33"/>
  <c r="Y83" i="33" s="1"/>
  <c r="W34" i="33"/>
  <c r="W82" i="33"/>
  <c r="W42" i="32"/>
  <c r="T34" i="32"/>
  <c r="T82" i="32" s="1"/>
  <c r="T83" i="32" s="1"/>
  <c r="J34" i="32"/>
  <c r="J82" i="32" s="1"/>
  <c r="J83" i="32" s="1"/>
  <c r="I33" i="17"/>
  <c r="I30" i="17" s="1"/>
  <c r="L33" i="17"/>
  <c r="L30" i="17" s="1"/>
  <c r="L62" i="17" s="1"/>
  <c r="L80" i="17" s="1"/>
  <c r="H33" i="17"/>
  <c r="H30" i="17" s="1"/>
  <c r="H59" i="17" s="1"/>
  <c r="G33" i="17"/>
  <c r="G30" i="17" s="1"/>
  <c r="G62" i="17" s="1"/>
  <c r="Y55" i="17"/>
  <c r="N31" i="17"/>
  <c r="R31" i="17"/>
  <c r="V31" i="17"/>
  <c r="O59" i="17"/>
  <c r="O49" i="17"/>
  <c r="O63" i="17"/>
  <c r="O46" i="17"/>
  <c r="O44" i="17"/>
  <c r="O68" i="17"/>
  <c r="O45" i="17"/>
  <c r="O43" i="17"/>
  <c r="O62" i="17"/>
  <c r="P33" i="17"/>
  <c r="P30" i="17" s="1"/>
  <c r="T33" i="17"/>
  <c r="T30" i="17" s="1"/>
  <c r="G31" i="17"/>
  <c r="K31" i="17"/>
  <c r="O31" i="17"/>
  <c r="S31" i="17"/>
  <c r="S59" i="17"/>
  <c r="S49" i="17"/>
  <c r="S45" i="17"/>
  <c r="S43" i="17"/>
  <c r="S62" i="17"/>
  <c r="S46" i="17"/>
  <c r="S44" i="17"/>
  <c r="S63" i="17"/>
  <c r="M63" i="17"/>
  <c r="M62" i="17"/>
  <c r="M80" i="17" s="1"/>
  <c r="M59" i="17"/>
  <c r="M49" i="17"/>
  <c r="I63" i="17"/>
  <c r="I45" i="17"/>
  <c r="I59" i="17"/>
  <c r="I49" i="17"/>
  <c r="I44" i="17"/>
  <c r="I62" i="17"/>
  <c r="I43" i="17"/>
  <c r="I46" i="17"/>
  <c r="H31" i="17"/>
  <c r="L31" i="17"/>
  <c r="P31" i="17"/>
  <c r="T31" i="17"/>
  <c r="L68" i="17"/>
  <c r="I26" i="17"/>
  <c r="M31" i="17"/>
  <c r="Q31" i="17"/>
  <c r="U31" i="17"/>
  <c r="Y20" i="17"/>
  <c r="Y18" i="17" s="1"/>
  <c r="W18" i="17"/>
  <c r="U33" i="17"/>
  <c r="U30" i="17" s="1"/>
  <c r="J36" i="17"/>
  <c r="N36" i="17"/>
  <c r="R36" i="17"/>
  <c r="W39" i="17"/>
  <c r="Y39" i="17" s="1"/>
  <c r="H63" i="17"/>
  <c r="X26" i="17"/>
  <c r="X81" i="17" s="1"/>
  <c r="Q33" i="17"/>
  <c r="Q30" i="17" s="1"/>
  <c r="W35" i="17"/>
  <c r="W37" i="17"/>
  <c r="Y37" i="17" s="1"/>
  <c r="H49" i="17"/>
  <c r="J18" i="17"/>
  <c r="J26" i="17" s="1"/>
  <c r="K49" i="17"/>
  <c r="K62" i="17"/>
  <c r="K80" i="17" s="1"/>
  <c r="L59" i="17"/>
  <c r="L63" i="17"/>
  <c r="L49" i="17"/>
  <c r="W10" i="17"/>
  <c r="V36" i="17"/>
  <c r="V33" i="17" s="1"/>
  <c r="V30" i="17" s="1"/>
  <c r="W53" i="17"/>
  <c r="Y53" i="17" s="1"/>
  <c r="Y85" i="33" l="1"/>
  <c r="X85" i="33"/>
  <c r="Y82" i="33"/>
  <c r="W83" i="33"/>
  <c r="Y34" i="33"/>
  <c r="X32" i="33"/>
  <c r="Y42" i="32"/>
  <c r="Y83" i="32" s="1"/>
  <c r="W34" i="32"/>
  <c r="W82" i="32"/>
  <c r="H62" i="17"/>
  <c r="H80" i="17" s="1"/>
  <c r="O42" i="17"/>
  <c r="O80" i="17" s="1"/>
  <c r="J33" i="17"/>
  <c r="J30" i="17" s="1"/>
  <c r="J62" i="17" s="1"/>
  <c r="J80" i="17" s="1"/>
  <c r="G80" i="17"/>
  <c r="G34" i="17"/>
  <c r="O34" i="17"/>
  <c r="O81" i="17" s="1"/>
  <c r="L42" i="17"/>
  <c r="L34" i="17" s="1"/>
  <c r="L81" i="17" s="1"/>
  <c r="J31" i="17"/>
  <c r="Y10" i="17"/>
  <c r="Y26" i="17" s="1"/>
  <c r="W26" i="17"/>
  <c r="K68" i="17"/>
  <c r="R33" i="17"/>
  <c r="R30" i="17" s="1"/>
  <c r="I42" i="17"/>
  <c r="I80" i="17" s="1"/>
  <c r="M68" i="17"/>
  <c r="S42" i="17"/>
  <c r="S80" i="17" s="1"/>
  <c r="T45" i="17"/>
  <c r="T49" i="17"/>
  <c r="T62" i="17"/>
  <c r="T46" i="17"/>
  <c r="T44" i="17"/>
  <c r="T63" i="17"/>
  <c r="T59" i="17"/>
  <c r="T43" i="17"/>
  <c r="T68" i="17"/>
  <c r="H68" i="17"/>
  <c r="G42" i="17"/>
  <c r="N33" i="17"/>
  <c r="N30" i="17" s="1"/>
  <c r="G63" i="17"/>
  <c r="W36" i="17"/>
  <c r="V62" i="17"/>
  <c r="V80" i="17" s="1"/>
  <c r="V63" i="17"/>
  <c r="V59" i="17"/>
  <c r="V49" i="17"/>
  <c r="M42" i="17"/>
  <c r="K42" i="17"/>
  <c r="Y35" i="17"/>
  <c r="H42" i="17"/>
  <c r="J63" i="17"/>
  <c r="J49" i="17"/>
  <c r="J59" i="17"/>
  <c r="G49" i="17"/>
  <c r="I68" i="17"/>
  <c r="S68" i="17"/>
  <c r="P62" i="17"/>
  <c r="P80" i="17" s="1"/>
  <c r="P49" i="17"/>
  <c r="P68" i="17"/>
  <c r="P63" i="17"/>
  <c r="P59" i="17"/>
  <c r="Q68" i="17"/>
  <c r="Q63" i="17"/>
  <c r="Q59" i="17"/>
  <c r="Q49" i="17"/>
  <c r="Q62" i="17"/>
  <c r="Q80" i="17" s="1"/>
  <c r="U68" i="17"/>
  <c r="U63" i="17"/>
  <c r="U62" i="17"/>
  <c r="U49" i="17"/>
  <c r="U44" i="17"/>
  <c r="U45" i="17"/>
  <c r="U46" i="17"/>
  <c r="U59" i="17"/>
  <c r="U43" i="17"/>
  <c r="G59" i="17"/>
  <c r="I31" i="17"/>
  <c r="W31" i="17" s="1"/>
  <c r="Y34" i="32" l="1"/>
  <c r="X32" i="32"/>
  <c r="X85" i="32"/>
  <c r="Y82" i="32"/>
  <c r="W83" i="32"/>
  <c r="T42" i="17"/>
  <c r="T80" i="17" s="1"/>
  <c r="Y36" i="17"/>
  <c r="H34" i="17"/>
  <c r="H81" i="17" s="1"/>
  <c r="V42" i="17"/>
  <c r="M34" i="17"/>
  <c r="M81" i="17" s="1"/>
  <c r="N62" i="17"/>
  <c r="N46" i="17"/>
  <c r="N45" i="17"/>
  <c r="N43" i="17"/>
  <c r="N44" i="17"/>
  <c r="W71" i="17"/>
  <c r="Y71" i="17" s="1"/>
  <c r="W58" i="17"/>
  <c r="Y58" i="17" s="1"/>
  <c r="Q42" i="17"/>
  <c r="Q34" i="17" s="1"/>
  <c r="Q81" i="17" s="1"/>
  <c r="P42" i="17"/>
  <c r="P34" i="17" s="1"/>
  <c r="P81" i="17" s="1"/>
  <c r="V68" i="17"/>
  <c r="I34" i="17"/>
  <c r="I81" i="17" s="1"/>
  <c r="J68" i="17"/>
  <c r="W33" i="17"/>
  <c r="W30" i="17" s="1"/>
  <c r="K34" i="17"/>
  <c r="K81" i="17" s="1"/>
  <c r="G81" i="17"/>
  <c r="U42" i="17"/>
  <c r="J42" i="17"/>
  <c r="T34" i="17"/>
  <c r="T81" i="17" s="1"/>
  <c r="S34" i="17"/>
  <c r="S81" i="17" s="1"/>
  <c r="R62" i="17"/>
  <c r="R46" i="17"/>
  <c r="R44" i="17"/>
  <c r="R63" i="17"/>
  <c r="R43" i="17"/>
  <c r="W43" i="17" s="1"/>
  <c r="Y43" i="17" s="1"/>
  <c r="R49" i="17"/>
  <c r="R45" i="17"/>
  <c r="R59" i="17"/>
  <c r="U34" i="17" l="1"/>
  <c r="U80" i="17"/>
  <c r="W44" i="17"/>
  <c r="Y44" i="17" s="1"/>
  <c r="W62" i="17"/>
  <c r="Y62" i="17" s="1"/>
  <c r="W46" i="17"/>
  <c r="Y46" i="17" s="1"/>
  <c r="J34" i="17"/>
  <c r="J81" i="17" s="1"/>
  <c r="V34" i="17"/>
  <c r="V81" i="17" s="1"/>
  <c r="N59" i="17"/>
  <c r="W61" i="17"/>
  <c r="W59" i="17" s="1"/>
  <c r="Y59" i="17" s="1"/>
  <c r="N63" i="17"/>
  <c r="W66" i="17"/>
  <c r="W63" i="17" s="1"/>
  <c r="Y63" i="17" s="1"/>
  <c r="N49" i="17"/>
  <c r="W49" i="17" s="1"/>
  <c r="Y49" i="17" s="1"/>
  <c r="W51" i="17"/>
  <c r="Y51" i="17" s="1"/>
  <c r="N42" i="17"/>
  <c r="N80" i="17" s="1"/>
  <c r="N68" i="17"/>
  <c r="W70" i="17"/>
  <c r="Y70" i="17" s="1"/>
  <c r="R68" i="17"/>
  <c r="W45" i="17"/>
  <c r="Y45" i="17" s="1"/>
  <c r="W67" i="17"/>
  <c r="Y67" i="17" s="1"/>
  <c r="R42" i="17"/>
  <c r="R80" i="17" s="1"/>
  <c r="U81" i="17" l="1"/>
  <c r="R34" i="17"/>
  <c r="R81" i="17" s="1"/>
  <c r="W68" i="17"/>
  <c r="Y68" i="17" s="1"/>
  <c r="N34" i="17"/>
  <c r="N81" i="17" s="1"/>
  <c r="W42" i="17"/>
  <c r="W80" i="17" s="1"/>
  <c r="Y42" i="17" l="1"/>
  <c r="Y81" i="17" s="1"/>
  <c r="W34" i="17"/>
  <c r="Y83" i="17" s="1"/>
  <c r="Y34" i="17" l="1"/>
  <c r="X32" i="17"/>
  <c r="X83" i="17"/>
  <c r="Y80" i="17"/>
  <c r="W81" i="17"/>
  <c r="H30" i="29" l="1"/>
  <c r="H26" i="29"/>
  <c r="H31" i="29" s="1"/>
  <c r="H19" i="29"/>
  <c r="H15" i="29"/>
  <c r="H20" i="29" s="1"/>
  <c r="H11" i="29"/>
  <c r="H21" i="29" l="1"/>
  <c r="H35" i="29"/>
  <c r="H36" i="29" s="1"/>
  <c r="H37" i="29" s="1"/>
  <c r="I34" i="29" l="1"/>
  <c r="G30" i="29"/>
  <c r="I30" i="29" s="1"/>
  <c r="I29" i="29"/>
  <c r="I28" i="29"/>
  <c r="G26" i="29"/>
  <c r="I26" i="29" s="1"/>
  <c r="I25" i="29"/>
  <c r="I24" i="29"/>
  <c r="G19" i="29"/>
  <c r="I19" i="29" s="1"/>
  <c r="I18" i="29"/>
  <c r="I17" i="29"/>
  <c r="G15" i="29"/>
  <c r="I15" i="29" s="1"/>
  <c r="I14" i="29"/>
  <c r="G11" i="29"/>
  <c r="I10" i="29"/>
  <c r="I9" i="29"/>
  <c r="I11" i="29" l="1"/>
  <c r="G20" i="29"/>
  <c r="I20" i="29" s="1"/>
  <c r="G31" i="29"/>
  <c r="G21" i="29" l="1"/>
  <c r="G35" i="29" s="1"/>
  <c r="I31" i="29"/>
  <c r="I21" i="29" l="1"/>
  <c r="G36" i="29"/>
  <c r="I35" i="29"/>
  <c r="I36" i="29" l="1"/>
  <c r="G37" i="29"/>
  <c r="I37" i="29" s="1"/>
</calcChain>
</file>

<file path=xl/sharedStrings.xml><?xml version="1.0" encoding="utf-8"?>
<sst xmlns="http://schemas.openxmlformats.org/spreadsheetml/2006/main" count="525" uniqueCount="165">
  <si>
    <t>一般社団法人滋賀県配合飼料価格安定基金協会</t>
  </si>
  <si>
    <t>科        目</t>
  </si>
  <si>
    <t>法人会計</t>
  </si>
  <si>
    <t>価格差補てん事</t>
  </si>
  <si>
    <t>肉用子牛補給金</t>
  </si>
  <si>
    <t>子牛生産拡大奨</t>
  </si>
  <si>
    <t>肉用繁殖経営支</t>
  </si>
  <si>
    <t>肉用経営安定補</t>
  </si>
  <si>
    <t>畜環リース推進</t>
  </si>
  <si>
    <t>生産性向上支援</t>
  </si>
  <si>
    <t>堆肥保管施設リ</t>
  </si>
  <si>
    <t>畜産経営力向上</t>
  </si>
  <si>
    <t>畜産収益強化支</t>
  </si>
  <si>
    <t>法人会計事業</t>
  </si>
  <si>
    <t>合   計</t>
  </si>
  <si>
    <t>Ⅰ　一般正味財産増減の部</t>
  </si>
  <si>
    <t xml:space="preserve">  １．経常増減の部</t>
  </si>
  <si>
    <t xml:space="preserve">    (1) 経常収益</t>
  </si>
  <si>
    <t xml:space="preserve">        受       取        入        会       金</t>
  </si>
  <si>
    <t xml:space="preserve">          基    金    協     会     入    会    金</t>
  </si>
  <si>
    <t xml:space="preserve">        受          取           会           費</t>
  </si>
  <si>
    <t xml:space="preserve">          正    会    員     受     取    会    費</t>
  </si>
  <si>
    <t xml:space="preserve">        受     取      補      助      金     等</t>
  </si>
  <si>
    <t xml:space="preserve">          受       取        助        成       金</t>
  </si>
  <si>
    <t xml:space="preserve">          受     取      県      補      助     金</t>
  </si>
  <si>
    <t xml:space="preserve">        事          業           収           益</t>
  </si>
  <si>
    <t xml:space="preserve">          リ ー  ス  事  業  事  務  受  託  収 益</t>
  </si>
  <si>
    <t xml:space="preserve">        雑                 収                 益</t>
  </si>
  <si>
    <t xml:space="preserve">          受          取           利           息</t>
  </si>
  <si>
    <t xml:space="preserve">        経常収益計</t>
  </si>
  <si>
    <t xml:space="preserve">    (2) 経常費用</t>
  </si>
  <si>
    <t xml:space="preserve">        事                 業                 費</t>
  </si>
  <si>
    <t xml:space="preserve">          会                 議                 費</t>
  </si>
  <si>
    <t xml:space="preserve">          旅       費        交        通       費</t>
  </si>
  <si>
    <t xml:space="preserve">            出          張           旅           費</t>
  </si>
  <si>
    <t xml:space="preserve">            役          員           旅           費</t>
  </si>
  <si>
    <t xml:space="preserve">          通       信        運        搬       費</t>
  </si>
  <si>
    <t xml:space="preserve">            振       込        手        数       料</t>
  </si>
  <si>
    <t xml:space="preserve">            宅                 配                 料</t>
  </si>
  <si>
    <t xml:space="preserve">            郵                 便                 料</t>
  </si>
  <si>
    <t xml:space="preserve">          消          耗           品           費</t>
  </si>
  <si>
    <t xml:space="preserve">          印       刷        製        本       費</t>
  </si>
  <si>
    <t xml:space="preserve">            印       刷        製        本       費</t>
  </si>
  <si>
    <t xml:space="preserve">          賃                 借                 料</t>
  </si>
  <si>
    <t xml:space="preserve">            借                 上                 料</t>
  </si>
  <si>
    <t xml:space="preserve">          支          払           会           費</t>
  </si>
  <si>
    <t xml:space="preserve">          調       査        研        究       費</t>
  </si>
  <si>
    <t xml:space="preserve">          役          員           報           酬</t>
  </si>
  <si>
    <t xml:space="preserve">          給          料           手           当</t>
  </si>
  <si>
    <t xml:space="preserve">          福       利        厚        生       費</t>
  </si>
  <si>
    <t xml:space="preserve">            社       会        保        険       料</t>
  </si>
  <si>
    <t xml:space="preserve">            定    期    健     康     診    断    料</t>
  </si>
  <si>
    <t xml:space="preserve">            労       働        保        険       料</t>
  </si>
  <si>
    <t xml:space="preserve">            傷       害        保        険       料</t>
  </si>
  <si>
    <t xml:space="preserve">            慶                 弔                 費</t>
  </si>
  <si>
    <t xml:space="preserve">            事     務      所      使      用     料</t>
  </si>
  <si>
    <t xml:space="preserve">            リ          ー           ス           料</t>
  </si>
  <si>
    <t xml:space="preserve">          交                 際                 費</t>
  </si>
  <si>
    <t xml:space="preserve">          雑                                    費</t>
  </si>
  <si>
    <t xml:space="preserve">        経常費用計</t>
  </si>
  <si>
    <t xml:space="preserve">          評価損益等調整前当期経常増減額</t>
  </si>
  <si>
    <t xml:space="preserve">          損益評価等計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</si>
  <si>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</si>
  <si>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</si>
  <si>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</si>
  <si>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</si>
  <si>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</si>
  <si>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経常外費用計</t>
  </si>
  <si>
    <t xml:space="preserve">          当期経常外増減額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</si>
  <si>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</si>
  <si>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</si>
  <si>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</si>
  <si>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</si>
  <si>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</si>
  <si>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</si>
  <si>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</si>
  <si>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　正味財産期末残高</t>
  </si>
  <si>
    <t xml:space="preserve">          光熱費</t>
    <rPh sb="10" eb="13">
      <t>コウネツヒ</t>
    </rPh>
    <phoneticPr fontId="1"/>
  </si>
  <si>
    <t xml:space="preserve">          修繕費</t>
    <rPh sb="10" eb="13">
      <t>シュウゼンヒ</t>
    </rPh>
    <phoneticPr fontId="1"/>
  </si>
  <si>
    <t xml:space="preserve">            通勤費</t>
    <rPh sb="12" eb="14">
      <t>ツウキン</t>
    </rPh>
    <phoneticPr fontId="1"/>
  </si>
  <si>
    <t xml:space="preserve">          委託費</t>
    <rPh sb="10" eb="12">
      <t>イタク</t>
    </rPh>
    <phoneticPr fontId="1"/>
  </si>
  <si>
    <t>総合計</t>
    <rPh sb="0" eb="2">
      <t>ソウゴウ</t>
    </rPh>
    <rPh sb="2" eb="3">
      <t>ケイ</t>
    </rPh>
    <phoneticPr fontId="1"/>
  </si>
  <si>
    <t xml:space="preserve">          租税公課</t>
    <rPh sb="10" eb="12">
      <t>ソゼイ</t>
    </rPh>
    <rPh sb="12" eb="14">
      <t>コウカ</t>
    </rPh>
    <phoneticPr fontId="1"/>
  </si>
  <si>
    <t xml:space="preserve">          肉用子牛  事  務  受  託  収 益</t>
    <rPh sb="10" eb="12">
      <t>ニクヨウ</t>
    </rPh>
    <rPh sb="12" eb="14">
      <t>コウシ</t>
    </rPh>
    <phoneticPr fontId="1"/>
  </si>
  <si>
    <t>納付済</t>
    <rPh sb="0" eb="2">
      <t>ノウフ</t>
    </rPh>
    <rPh sb="2" eb="3">
      <t>スミ</t>
    </rPh>
    <phoneticPr fontId="1"/>
  </si>
  <si>
    <t>納付予定</t>
    <rPh sb="0" eb="2">
      <t>ノウフ</t>
    </rPh>
    <rPh sb="2" eb="4">
      <t>ヨテイ</t>
    </rPh>
    <phoneticPr fontId="1"/>
  </si>
  <si>
    <t>環境リース事業経営</t>
    <rPh sb="7" eb="9">
      <t>ケイエイ</t>
    </rPh>
    <phoneticPr fontId="1"/>
  </si>
  <si>
    <t>環境リース事業特別</t>
    <rPh sb="7" eb="9">
      <t>トクベツ</t>
    </rPh>
    <phoneticPr fontId="1"/>
  </si>
  <si>
    <t xml:space="preserve">          雑費</t>
    <rPh sb="10" eb="12">
      <t>ザッピ</t>
    </rPh>
    <phoneticPr fontId="1"/>
  </si>
  <si>
    <t xml:space="preserve">          消耗什器備品費</t>
    <rPh sb="12" eb="14">
      <t>ジュウキ</t>
    </rPh>
    <rPh sb="14" eb="15">
      <t>ビ</t>
    </rPh>
    <phoneticPr fontId="1"/>
  </si>
  <si>
    <t>（単位:円）</t>
  </si>
  <si>
    <t>増  減</t>
  </si>
  <si>
    <t>直接</t>
    <rPh sb="0" eb="2">
      <t>チョクセツ</t>
    </rPh>
    <phoneticPr fontId="1"/>
  </si>
  <si>
    <t>従事</t>
    <rPh sb="0" eb="2">
      <t>ジュウジ</t>
    </rPh>
    <phoneticPr fontId="1"/>
  </si>
  <si>
    <t>従事割合</t>
    <rPh sb="0" eb="2">
      <t>ジュウジ</t>
    </rPh>
    <rPh sb="2" eb="4">
      <t>ワリアイ</t>
    </rPh>
    <phoneticPr fontId="1"/>
  </si>
  <si>
    <t>使用割合</t>
    <rPh sb="0" eb="2">
      <t>シヨウ</t>
    </rPh>
    <rPh sb="2" eb="4">
      <t>ワリアイ</t>
    </rPh>
    <phoneticPr fontId="1"/>
  </si>
  <si>
    <t>クラスター</t>
    <phoneticPr fontId="1"/>
  </si>
  <si>
    <t>畜産収益力向上</t>
    <rPh sb="4" eb="5">
      <t>リョク</t>
    </rPh>
    <rPh sb="5" eb="6">
      <t>ムケ</t>
    </rPh>
    <rPh sb="6" eb="7">
      <t>ウエ</t>
    </rPh>
    <phoneticPr fontId="1"/>
  </si>
  <si>
    <t>畜産経営力向全</t>
    <rPh sb="6" eb="7">
      <t>ゼン</t>
    </rPh>
    <phoneticPr fontId="1"/>
  </si>
  <si>
    <t xml:space="preserve">          　手    　　　　　       当</t>
    <phoneticPr fontId="1"/>
  </si>
  <si>
    <t xml:space="preserve">            賞         与          手          当</t>
    <phoneticPr fontId="1"/>
  </si>
  <si>
    <t xml:space="preserve">            給         与          手          当</t>
    <phoneticPr fontId="1"/>
  </si>
  <si>
    <t xml:space="preserve">          臨　時　雇　用　賃　金</t>
    <rPh sb="10" eb="11">
      <t>ノゾム</t>
    </rPh>
    <rPh sb="12" eb="13">
      <t>ジ</t>
    </rPh>
    <rPh sb="14" eb="15">
      <t>ヤトイ</t>
    </rPh>
    <rPh sb="16" eb="17">
      <t>ヨウ</t>
    </rPh>
    <rPh sb="18" eb="19">
      <t>チン</t>
    </rPh>
    <rPh sb="20" eb="21">
      <t>キン</t>
    </rPh>
    <phoneticPr fontId="1"/>
  </si>
  <si>
    <t>武居和樹人件費</t>
    <rPh sb="0" eb="4">
      <t>タ</t>
    </rPh>
    <rPh sb="4" eb="7">
      <t>ジンケンヒ</t>
    </rPh>
    <phoneticPr fontId="1"/>
  </si>
  <si>
    <t>邑地比呂美人件費</t>
    <rPh sb="0" eb="5">
      <t>ム</t>
    </rPh>
    <rPh sb="5" eb="8">
      <t>ジンケンヒ</t>
    </rPh>
    <phoneticPr fontId="1"/>
  </si>
  <si>
    <t>人件費合計</t>
    <rPh sb="0" eb="3">
      <t>ジンケンヒ</t>
    </rPh>
    <rPh sb="3" eb="5">
      <t>ゴウケイ</t>
    </rPh>
    <phoneticPr fontId="1"/>
  </si>
  <si>
    <t xml:space="preserve">            電話料　　　使用割合</t>
    <rPh sb="12" eb="14">
      <t>デンワ</t>
    </rPh>
    <rPh sb="14" eb="15">
      <t>リョウ</t>
    </rPh>
    <rPh sb="18" eb="20">
      <t>シヨウ</t>
    </rPh>
    <rPh sb="20" eb="22">
      <t>ワリアイ</t>
    </rPh>
    <phoneticPr fontId="1"/>
  </si>
  <si>
    <t xml:space="preserve">            コピー費　　直接</t>
    <rPh sb="18" eb="20">
      <t>チョクセツ</t>
    </rPh>
    <phoneticPr fontId="1"/>
  </si>
  <si>
    <t>決算書より</t>
    <rPh sb="0" eb="3">
      <t>ケッサンショ</t>
    </rPh>
    <phoneticPr fontId="1"/>
  </si>
  <si>
    <t>今後</t>
    <rPh sb="0" eb="2">
      <t>コンゴ</t>
    </rPh>
    <phoneticPr fontId="1"/>
  </si>
  <si>
    <t>正味財産増減計算書内訳表　％</t>
    <phoneticPr fontId="1"/>
  </si>
  <si>
    <t>当年度</t>
  </si>
  <si>
    <t>前年度</t>
  </si>
  <si>
    <t>Ⅰ　資産の部</t>
  </si>
  <si>
    <t xml:space="preserve">  １．流動資産</t>
  </si>
  <si>
    <t xml:space="preserve">          現金預金</t>
  </si>
  <si>
    <t xml:space="preserve">          未                 収                 金</t>
  </si>
  <si>
    <t xml:space="preserve">        流動資産合計</t>
  </si>
  <si>
    <t xml:space="preserve">  ２．固定資産</t>
  </si>
  <si>
    <t xml:space="preserve">          役  員  退  職  慰   労   引  当  資  産</t>
  </si>
  <si>
    <t xml:space="preserve">        特定資産合計</t>
  </si>
  <si>
    <t xml:space="preserve">          関    係    団     体     出    資    金</t>
  </si>
  <si>
    <t xml:space="preserve">          長       期        未        収       金</t>
  </si>
  <si>
    <t xml:space="preserve">        その他固定資産合計</t>
  </si>
  <si>
    <t xml:space="preserve">        固定資産合計</t>
  </si>
  <si>
    <t xml:space="preserve">        資産合計</t>
  </si>
  <si>
    <t>Ⅱ　負債の部</t>
  </si>
  <si>
    <t xml:space="preserve">  １．流動負債</t>
  </si>
  <si>
    <t xml:space="preserve">          未                 払                 金</t>
  </si>
  <si>
    <t xml:space="preserve">          預                 り                 金</t>
  </si>
  <si>
    <t xml:space="preserve">        流動負債合計</t>
  </si>
  <si>
    <t xml:space="preserve">  ２．固定負債</t>
  </si>
  <si>
    <t xml:space="preserve">          長       期        未        払       金</t>
  </si>
  <si>
    <t xml:space="preserve">          役  員   退   職   慰   労   引   当  金</t>
  </si>
  <si>
    <t xml:space="preserve">        固定負債合計</t>
  </si>
  <si>
    <t xml:space="preserve">        負債合計</t>
  </si>
  <si>
    <t>Ⅲ　正味財産の部</t>
  </si>
  <si>
    <t xml:space="preserve">  １．指定正味財産</t>
  </si>
  <si>
    <t xml:space="preserve">        指定正味財産合計</t>
  </si>
  <si>
    <t xml:space="preserve">  ２．一般正味財産</t>
  </si>
  <si>
    <t xml:space="preserve">        正味財産合計</t>
  </si>
  <si>
    <t xml:space="preserve">        負債及び正味財産合計</t>
  </si>
  <si>
    <t>平成29年 4月 1日から平成30年 3月31日まで</t>
    <phoneticPr fontId="1"/>
  </si>
  <si>
    <t>平成30年 3月31日現在</t>
    <phoneticPr fontId="1"/>
  </si>
  <si>
    <t xml:space="preserve">          肉用牛経営安定対策補完事業奨励金</t>
    <rPh sb="10" eb="23">
      <t>ホカン</t>
    </rPh>
    <rPh sb="23" eb="26">
      <t>ショウレイキン</t>
    </rPh>
    <phoneticPr fontId="1"/>
  </si>
  <si>
    <t xml:space="preserve">          役 員  慰  労  退　職　金</t>
    <rPh sb="21" eb="22">
      <t>タイ</t>
    </rPh>
    <rPh sb="23" eb="24">
      <t>ショク</t>
    </rPh>
    <rPh sb="25" eb="26">
      <t>キン</t>
    </rPh>
    <phoneticPr fontId="1"/>
  </si>
  <si>
    <t>29年度使用</t>
    <rPh sb="2" eb="4">
      <t>ネンド</t>
    </rPh>
    <rPh sb="4" eb="6">
      <t>シヨウ</t>
    </rPh>
    <phoneticPr fontId="1"/>
  </si>
  <si>
    <t>4月16日確認</t>
    <rPh sb="1" eb="2">
      <t>ガツ</t>
    </rPh>
    <rPh sb="4" eb="5">
      <t>ヒ</t>
    </rPh>
    <rPh sb="5" eb="7">
      <t>カクニン</t>
    </rPh>
    <phoneticPr fontId="1"/>
  </si>
  <si>
    <t>正味財産増減計算書内訳表　２</t>
    <phoneticPr fontId="1"/>
  </si>
  <si>
    <t>4月18日確認</t>
    <rPh sb="1" eb="2">
      <t>ガツ</t>
    </rPh>
    <rPh sb="4" eb="5">
      <t>ヒ</t>
    </rPh>
    <rPh sb="5" eb="7">
      <t>カクニン</t>
    </rPh>
    <phoneticPr fontId="1"/>
  </si>
  <si>
    <t>製本</t>
    <rPh sb="0" eb="2">
      <t>セイホン</t>
    </rPh>
    <phoneticPr fontId="1"/>
  </si>
  <si>
    <t>コピー</t>
    <phoneticPr fontId="1"/>
  </si>
  <si>
    <t>原本</t>
    <rPh sb="0" eb="1">
      <t>ゲン</t>
    </rPh>
    <rPh sb="1" eb="2">
      <t>ホン</t>
    </rPh>
    <phoneticPr fontId="1"/>
  </si>
  <si>
    <t>子牛計</t>
    <rPh sb="0" eb="2">
      <t>コウシ</t>
    </rPh>
    <rPh sb="2" eb="3">
      <t>ケイ</t>
    </rPh>
    <phoneticPr fontId="1"/>
  </si>
  <si>
    <t>リース計</t>
    <rPh sb="3" eb="4">
      <t>ケイ</t>
    </rPh>
    <phoneticPr fontId="1"/>
  </si>
  <si>
    <t>総合計</t>
    <rPh sb="0" eb="1">
      <t>ソウ</t>
    </rPh>
    <rPh sb="1" eb="3">
      <t>ゴウケイ</t>
    </rPh>
    <phoneticPr fontId="1"/>
  </si>
  <si>
    <t>PCAのグループの正味財産増減計算書</t>
    <rPh sb="9" eb="11">
      <t>ショウミ</t>
    </rPh>
    <rPh sb="11" eb="13">
      <t>ザイサン</t>
    </rPh>
    <rPh sb="13" eb="15">
      <t>ゾウゲン</t>
    </rPh>
    <rPh sb="15" eb="18">
      <t>ケイサンショ</t>
    </rPh>
    <phoneticPr fontId="1"/>
  </si>
  <si>
    <t>と照合する。</t>
    <rPh sb="1" eb="3">
      <t>ショウゴウ</t>
    </rPh>
    <phoneticPr fontId="1"/>
  </si>
  <si>
    <t>印刷製本費とコピー費を別々に計算する</t>
    <rPh sb="0" eb="2">
      <t>インサツ</t>
    </rPh>
    <rPh sb="2" eb="4">
      <t>セイホン</t>
    </rPh>
    <rPh sb="4" eb="5">
      <t>ヒ</t>
    </rPh>
    <rPh sb="9" eb="10">
      <t>ヒ</t>
    </rPh>
    <rPh sb="11" eb="13">
      <t>ベツベツ</t>
    </rPh>
    <rPh sb="14" eb="16">
      <t>ケイサン</t>
    </rPh>
    <phoneticPr fontId="1"/>
  </si>
  <si>
    <t>の印刷製本費とコピー費を別々に振り分ける。</t>
    <rPh sb="1" eb="2">
      <t>イン</t>
    </rPh>
    <rPh sb="2" eb="3">
      <t>サツ</t>
    </rPh>
    <rPh sb="3" eb="5">
      <t>セイホン</t>
    </rPh>
    <rPh sb="5" eb="6">
      <t>ヒ</t>
    </rPh>
    <rPh sb="10" eb="11">
      <t>ヒ</t>
    </rPh>
    <rPh sb="12" eb="14">
      <t>ベツベツ</t>
    </rPh>
    <rPh sb="15" eb="16">
      <t>フ</t>
    </rPh>
    <rPh sb="17" eb="18">
      <t>ワ</t>
    </rPh>
    <phoneticPr fontId="1"/>
  </si>
  <si>
    <t>最終版</t>
    <rPh sb="0" eb="2">
      <t>サイシュウ</t>
    </rPh>
    <rPh sb="2" eb="3">
      <t>バン</t>
    </rPh>
    <phoneticPr fontId="1"/>
  </si>
  <si>
    <t xml:space="preserve">    (1) 特定資産</t>
    <phoneticPr fontId="1"/>
  </si>
  <si>
    <t xml:space="preserve">    (2) その他固定資産</t>
    <phoneticPr fontId="1"/>
  </si>
  <si>
    <t xml:space="preserve"> </t>
    <phoneticPr fontId="1"/>
  </si>
  <si>
    <t>H29貸借対照表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</si>
</sst>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20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1" fillId="0" borderId="15" xfId="0" applyFont="1" applyBorder="1">
      <alignment vertical="center"/>
    </xf>
    <xf numFmtId="0" fontId="10" fillId="0" borderId="13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0" xfId="0" applyFont="1">
      <alignment vertical="center"/>
    </xf>
    <xf numFmtId="0" fontId="10" fillId="0" borderId="1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1" fillId="6" borderId="0" xfId="0" applyFont="1" applyFill="1">
      <alignment vertical="center"/>
    </xf>
    <xf numFmtId="49" fontId="10" fillId="5" borderId="1" xfId="0" applyNumberFormat="1" applyFont="1" applyFill="1" applyBorder="1" applyAlignment="1">
      <alignment vertical="center"/>
    </xf>
    <xf numFmtId="49" fontId="10" fillId="5" borderId="0" xfId="0" applyNumberFormat="1" applyFont="1" applyFill="1" applyBorder="1" applyAlignment="1">
      <alignment vertical="center"/>
    </xf>
    <xf numFmtId="0" fontId="11" fillId="5" borderId="0" xfId="0" applyFont="1" applyFill="1">
      <alignment vertical="center"/>
    </xf>
    <xf numFmtId="3" fontId="11" fillId="3" borderId="0" xfId="0" applyNumberFormat="1" applyFont="1" applyFill="1">
      <alignment vertical="center"/>
    </xf>
    <xf numFmtId="0" fontId="11" fillId="3" borderId="0" xfId="0" applyFont="1" applyFill="1">
      <alignment vertical="center"/>
    </xf>
    <xf numFmtId="0" fontId="11" fillId="0" borderId="0" xfId="0" applyFont="1" applyAlignment="1">
      <alignment vertical="center" shrinkToFit="1"/>
    </xf>
    <xf numFmtId="0" fontId="11" fillId="4" borderId="0" xfId="0" applyFont="1" applyFill="1">
      <alignment vertical="center"/>
    </xf>
    <xf numFmtId="3" fontId="10" fillId="0" borderId="11" xfId="0" applyNumberFormat="1" applyFont="1" applyBorder="1" applyAlignment="1">
      <alignment horizontal="right" vertical="center"/>
    </xf>
    <xf numFmtId="3" fontId="10" fillId="8" borderId="7" xfId="0" applyNumberFormat="1" applyFont="1" applyFill="1" applyBorder="1" applyAlignment="1">
      <alignment horizontal="right" vertical="center"/>
    </xf>
    <xf numFmtId="3" fontId="10" fillId="8" borderId="11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>
      <alignment vertical="center"/>
    </xf>
    <xf numFmtId="0" fontId="10" fillId="8" borderId="13" xfId="0" applyFont="1" applyFill="1" applyBorder="1" applyAlignment="1">
      <alignment vertical="center"/>
    </xf>
    <xf numFmtId="0" fontId="10" fillId="8" borderId="8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10" fillId="8" borderId="14" xfId="0" applyFont="1" applyFill="1" applyBorder="1" applyAlignment="1">
      <alignment vertical="center"/>
    </xf>
    <xf numFmtId="3" fontId="11" fillId="0" borderId="7" xfId="0" applyNumberFormat="1" applyFont="1" applyBorder="1">
      <alignment vertical="center"/>
    </xf>
    <xf numFmtId="0" fontId="11" fillId="9" borderId="0" xfId="0" applyFont="1" applyFill="1">
      <alignment vertical="center"/>
    </xf>
    <xf numFmtId="0" fontId="11" fillId="7" borderId="0" xfId="0" applyFont="1" applyFill="1">
      <alignment vertical="center"/>
    </xf>
    <xf numFmtId="49" fontId="10" fillId="2" borderId="1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0" fontId="11" fillId="2" borderId="0" xfId="0" applyFont="1" applyFill="1">
      <alignment vertical="center"/>
    </xf>
    <xf numFmtId="0" fontId="11" fillId="0" borderId="0" xfId="0" applyFont="1" applyFill="1">
      <alignment vertical="center"/>
    </xf>
    <xf numFmtId="49" fontId="6" fillId="13" borderId="4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right" vertical="center" shrinkToFit="1"/>
    </xf>
    <xf numFmtId="3" fontId="10" fillId="8" borderId="7" xfId="0" applyNumberFormat="1" applyFont="1" applyFill="1" applyBorder="1" applyAlignment="1">
      <alignment horizontal="right" vertical="center" shrinkToFit="1"/>
    </xf>
    <xf numFmtId="0" fontId="10" fillId="13" borderId="13" xfId="0" applyFont="1" applyFill="1" applyBorder="1" applyAlignment="1">
      <alignment vertical="center"/>
    </xf>
    <xf numFmtId="0" fontId="10" fillId="13" borderId="15" xfId="0" applyFont="1" applyFill="1" applyBorder="1" applyAlignme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0" fontId="9" fillId="0" borderId="0" xfId="0" applyFont="1" applyFill="1">
      <alignment vertical="center"/>
    </xf>
    <xf numFmtId="176" fontId="9" fillId="0" borderId="0" xfId="0" applyNumberFormat="1" applyFont="1" applyFill="1">
      <alignment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176" fontId="9" fillId="0" borderId="15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7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49" fontId="10" fillId="0" borderId="1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6" borderId="1" xfId="0" applyNumberFormat="1" applyFont="1" applyFill="1" applyBorder="1" applyAlignment="1">
      <alignment vertical="center"/>
    </xf>
    <xf numFmtId="49" fontId="10" fillId="6" borderId="0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49" fontId="10" fillId="7" borderId="1" xfId="0" applyNumberFormat="1" applyFont="1" applyFill="1" applyBorder="1" applyAlignment="1">
      <alignment vertical="center"/>
    </xf>
    <xf numFmtId="49" fontId="10" fillId="7" borderId="0" xfId="0" applyNumberFormat="1" applyFont="1" applyFill="1" applyBorder="1" applyAlignment="1">
      <alignment vertical="center"/>
    </xf>
    <xf numFmtId="49" fontId="10" fillId="4" borderId="1" xfId="0" applyNumberFormat="1" applyFont="1" applyFill="1" applyBorder="1" applyAlignment="1">
      <alignment vertical="center"/>
    </xf>
    <xf numFmtId="49" fontId="10" fillId="4" borderId="0" xfId="0" applyNumberFormat="1" applyFont="1" applyFill="1" applyBorder="1" applyAlignment="1">
      <alignment vertical="center"/>
    </xf>
    <xf numFmtId="49" fontId="10" fillId="11" borderId="1" xfId="0" applyNumberFormat="1" applyFont="1" applyFill="1" applyBorder="1" applyAlignment="1">
      <alignment vertical="center"/>
    </xf>
    <xf numFmtId="49" fontId="10" fillId="11" borderId="0" xfId="0" applyNumberFormat="1" applyFont="1" applyFill="1" applyBorder="1" applyAlignment="1">
      <alignment vertical="center"/>
    </xf>
    <xf numFmtId="3" fontId="10" fillId="9" borderId="15" xfId="0" applyNumberFormat="1" applyFont="1" applyFill="1" applyBorder="1" applyAlignment="1">
      <alignment horizontal="right" vertical="center" shrinkToFit="1"/>
    </xf>
    <xf numFmtId="3" fontId="10" fillId="3" borderId="15" xfId="0" applyNumberFormat="1" applyFont="1" applyFill="1" applyBorder="1" applyAlignment="1">
      <alignment horizontal="right" vertical="center" shrinkToFit="1"/>
    </xf>
    <xf numFmtId="3" fontId="10" fillId="0" borderId="7" xfId="0" applyNumberFormat="1" applyFont="1" applyBorder="1" applyAlignment="1">
      <alignment horizontal="right" vertical="center" shrinkToFit="1"/>
    </xf>
    <xf numFmtId="49" fontId="10" fillId="12" borderId="1" xfId="0" applyNumberFormat="1" applyFont="1" applyFill="1" applyBorder="1" applyAlignment="1">
      <alignment vertical="center"/>
    </xf>
    <xf numFmtId="49" fontId="10" fillId="12" borderId="0" xfId="0" applyNumberFormat="1" applyFont="1" applyFill="1" applyBorder="1" applyAlignment="1">
      <alignment vertical="center"/>
    </xf>
    <xf numFmtId="0" fontId="11" fillId="12" borderId="0" xfId="0" applyFont="1" applyFill="1">
      <alignment vertical="center"/>
    </xf>
    <xf numFmtId="3" fontId="11" fillId="0" borderId="0" xfId="0" applyNumberFormat="1" applyFont="1">
      <alignment vertical="center"/>
    </xf>
    <xf numFmtId="0" fontId="2" fillId="14" borderId="0" xfId="0" applyFont="1" applyFill="1" applyAlignment="1">
      <alignment vertical="center"/>
    </xf>
    <xf numFmtId="3" fontId="10" fillId="14" borderId="7" xfId="0" applyNumberFormat="1" applyFont="1" applyFill="1" applyBorder="1" applyAlignment="1">
      <alignment horizontal="right" vertical="center"/>
    </xf>
    <xf numFmtId="3" fontId="10" fillId="14" borderId="11" xfId="0" applyNumberFormat="1" applyFont="1" applyFill="1" applyBorder="1" applyAlignment="1">
      <alignment horizontal="right" vertical="center"/>
    </xf>
    <xf numFmtId="0" fontId="11" fillId="14" borderId="0" xfId="0" applyFont="1" applyFill="1">
      <alignment vertical="center"/>
    </xf>
    <xf numFmtId="49" fontId="15" fillId="0" borderId="4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right" vertical="center" shrinkToFit="1"/>
    </xf>
    <xf numFmtId="3" fontId="10" fillId="6" borderId="15" xfId="0" applyNumberFormat="1" applyFont="1" applyFill="1" applyBorder="1" applyAlignment="1">
      <alignment horizontal="right" vertical="center" shrinkToFit="1"/>
    </xf>
    <xf numFmtId="3" fontId="10" fillId="6" borderId="14" xfId="0" applyNumberFormat="1" applyFont="1" applyFill="1" applyBorder="1" applyAlignment="1">
      <alignment horizontal="right" vertical="center" shrinkToFit="1"/>
    </xf>
    <xf numFmtId="3" fontId="10" fillId="6" borderId="1" xfId="0" applyNumberFormat="1" applyFont="1" applyFill="1" applyBorder="1" applyAlignment="1">
      <alignment horizontal="right" vertical="center" shrinkToFit="1"/>
    </xf>
    <xf numFmtId="3" fontId="11" fillId="6" borderId="15" xfId="0" applyNumberFormat="1" applyFont="1" applyFill="1" applyBorder="1" applyAlignment="1">
      <alignment vertical="center" shrinkToFit="1"/>
    </xf>
    <xf numFmtId="3" fontId="10" fillId="0" borderId="14" xfId="0" applyNumberFormat="1" applyFont="1" applyBorder="1" applyAlignment="1">
      <alignment horizontal="right" vertical="center" shrinkToFit="1"/>
    </xf>
    <xf numFmtId="3" fontId="10" fillId="0" borderId="1" xfId="0" applyNumberFormat="1" applyFont="1" applyBorder="1" applyAlignment="1">
      <alignment horizontal="right" vertical="center" shrinkToFit="1"/>
    </xf>
    <xf numFmtId="3" fontId="11" fillId="0" borderId="15" xfId="0" applyNumberFormat="1" applyFont="1" applyBorder="1" applyAlignment="1">
      <alignment vertical="center" shrinkToFit="1"/>
    </xf>
    <xf numFmtId="3" fontId="11" fillId="0" borderId="15" xfId="0" applyNumberFormat="1" applyFont="1" applyBorder="1" applyAlignment="1">
      <alignment horizontal="right" vertical="center" shrinkToFit="1"/>
    </xf>
    <xf numFmtId="3" fontId="12" fillId="6" borderId="15" xfId="0" applyNumberFormat="1" applyFont="1" applyFill="1" applyBorder="1" applyAlignment="1">
      <alignment horizontal="right" vertical="center" shrinkToFit="1"/>
    </xf>
    <xf numFmtId="3" fontId="12" fillId="0" borderId="15" xfId="0" applyNumberFormat="1" applyFont="1" applyBorder="1" applyAlignment="1">
      <alignment horizontal="right" vertical="center" shrinkToFit="1"/>
    </xf>
    <xf numFmtId="3" fontId="10" fillId="9" borderId="14" xfId="0" applyNumberFormat="1" applyFont="1" applyFill="1" applyBorder="1" applyAlignment="1">
      <alignment horizontal="right" vertical="center" shrinkToFit="1"/>
    </xf>
    <xf numFmtId="3" fontId="10" fillId="9" borderId="1" xfId="0" applyNumberFormat="1" applyFont="1" applyFill="1" applyBorder="1" applyAlignment="1">
      <alignment horizontal="right" vertical="center" shrinkToFit="1"/>
    </xf>
    <xf numFmtId="3" fontId="11" fillId="9" borderId="15" xfId="0" applyNumberFormat="1" applyFont="1" applyFill="1" applyBorder="1" applyAlignment="1">
      <alignment vertical="center" shrinkToFit="1"/>
    </xf>
    <xf numFmtId="3" fontId="10" fillId="12" borderId="15" xfId="0" applyNumberFormat="1" applyFont="1" applyFill="1" applyBorder="1" applyAlignment="1">
      <alignment horizontal="right" vertical="center" shrinkToFit="1"/>
    </xf>
    <xf numFmtId="3" fontId="10" fillId="0" borderId="15" xfId="0" applyNumberFormat="1" applyFont="1" applyFill="1" applyBorder="1" applyAlignment="1">
      <alignment horizontal="right" vertical="center" shrinkToFit="1"/>
    </xf>
    <xf numFmtId="3" fontId="10" fillId="5" borderId="15" xfId="0" applyNumberFormat="1" applyFont="1" applyFill="1" applyBorder="1" applyAlignment="1">
      <alignment horizontal="right" vertical="center" shrinkToFit="1"/>
    </xf>
    <xf numFmtId="3" fontId="10" fillId="5" borderId="14" xfId="0" applyNumberFormat="1" applyFont="1" applyFill="1" applyBorder="1" applyAlignment="1">
      <alignment horizontal="right" vertical="center" shrinkToFit="1"/>
    </xf>
    <xf numFmtId="3" fontId="10" fillId="5" borderId="1" xfId="0" applyNumberFormat="1" applyFont="1" applyFill="1" applyBorder="1" applyAlignment="1">
      <alignment horizontal="right" vertical="center" shrinkToFit="1"/>
    </xf>
    <xf numFmtId="3" fontId="11" fillId="5" borderId="15" xfId="0" applyNumberFormat="1" applyFont="1" applyFill="1" applyBorder="1" applyAlignment="1">
      <alignment vertical="center" shrinkToFit="1"/>
    </xf>
    <xf numFmtId="3" fontId="11" fillId="0" borderId="10" xfId="0" applyNumberFormat="1" applyFont="1" applyBorder="1" applyAlignment="1">
      <alignment vertical="center" shrinkToFit="1"/>
    </xf>
    <xf numFmtId="3" fontId="12" fillId="0" borderId="7" xfId="0" applyNumberFormat="1" applyFont="1" applyBorder="1" applyAlignment="1">
      <alignment horizontal="right" vertical="center" shrinkToFit="1"/>
    </xf>
    <xf numFmtId="0" fontId="10" fillId="0" borderId="13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3" fontId="11" fillId="0" borderId="8" xfId="0" applyNumberFormat="1" applyFont="1" applyBorder="1" applyAlignment="1">
      <alignment vertical="center" shrinkToFit="1"/>
    </xf>
    <xf numFmtId="0" fontId="10" fillId="7" borderId="15" xfId="0" applyFont="1" applyFill="1" applyBorder="1" applyAlignment="1">
      <alignment vertical="center" shrinkToFit="1"/>
    </xf>
    <xf numFmtId="0" fontId="10" fillId="7" borderId="14" xfId="0" applyFont="1" applyFill="1" applyBorder="1" applyAlignment="1">
      <alignment vertical="center" shrinkToFit="1"/>
    </xf>
    <xf numFmtId="3" fontId="11" fillId="7" borderId="14" xfId="0" applyNumberFormat="1" applyFont="1" applyFill="1" applyBorder="1" applyAlignment="1">
      <alignment vertical="center" shrinkToFit="1"/>
    </xf>
    <xf numFmtId="0" fontId="10" fillId="4" borderId="15" xfId="0" applyFont="1" applyFill="1" applyBorder="1" applyAlignment="1">
      <alignment vertical="center" shrinkToFit="1"/>
    </xf>
    <xf numFmtId="0" fontId="10" fillId="4" borderId="14" xfId="0" applyFont="1" applyFill="1" applyBorder="1" applyAlignment="1">
      <alignment vertical="center" shrinkToFit="1"/>
    </xf>
    <xf numFmtId="3" fontId="11" fillId="4" borderId="14" xfId="0" applyNumberFormat="1" applyFont="1" applyFill="1" applyBorder="1" applyAlignment="1">
      <alignment vertical="center" shrinkToFit="1"/>
    </xf>
    <xf numFmtId="177" fontId="10" fillId="6" borderId="15" xfId="0" applyNumberFormat="1" applyFont="1" applyFill="1" applyBorder="1" applyAlignment="1">
      <alignment vertical="center" shrinkToFit="1"/>
    </xf>
    <xf numFmtId="0" fontId="10" fillId="6" borderId="15" xfId="0" applyFont="1" applyFill="1" applyBorder="1" applyAlignment="1">
      <alignment vertical="center" shrinkToFit="1"/>
    </xf>
    <xf numFmtId="3" fontId="11" fillId="6" borderId="14" xfId="0" applyNumberFormat="1" applyFont="1" applyFill="1" applyBorder="1" applyAlignment="1">
      <alignment vertical="center" shrinkToFit="1"/>
    </xf>
    <xf numFmtId="2" fontId="10" fillId="12" borderId="15" xfId="0" applyNumberFormat="1" applyFont="1" applyFill="1" applyBorder="1" applyAlignment="1">
      <alignment vertical="center" shrinkToFit="1"/>
    </xf>
    <xf numFmtId="38" fontId="10" fillId="12" borderId="15" xfId="1" applyFont="1" applyFill="1" applyBorder="1" applyAlignment="1">
      <alignment vertical="center" shrinkToFit="1"/>
    </xf>
    <xf numFmtId="3" fontId="11" fillId="12" borderId="14" xfId="0" applyNumberFormat="1" applyFont="1" applyFill="1" applyBorder="1" applyAlignment="1">
      <alignment vertical="center" shrinkToFit="1"/>
    </xf>
    <xf numFmtId="2" fontId="10" fillId="11" borderId="15" xfId="0" applyNumberFormat="1" applyFont="1" applyFill="1" applyBorder="1" applyAlignment="1">
      <alignment vertical="center" shrinkToFit="1"/>
    </xf>
    <xf numFmtId="2" fontId="10" fillId="11" borderId="14" xfId="0" applyNumberFormat="1" applyFont="1" applyFill="1" applyBorder="1" applyAlignment="1">
      <alignment vertical="center" shrinkToFit="1"/>
    </xf>
    <xf numFmtId="3" fontId="10" fillId="11" borderId="15" xfId="0" applyNumberFormat="1" applyFont="1" applyFill="1" applyBorder="1" applyAlignment="1">
      <alignment vertical="center" shrinkToFit="1"/>
    </xf>
    <xf numFmtId="3" fontId="11" fillId="11" borderId="14" xfId="0" applyNumberFormat="1" applyFont="1" applyFill="1" applyBorder="1" applyAlignment="1">
      <alignment vertical="center" shrinkToFit="1"/>
    </xf>
    <xf numFmtId="3" fontId="10" fillId="2" borderId="15" xfId="0" applyNumberFormat="1" applyFont="1" applyFill="1" applyBorder="1" applyAlignment="1">
      <alignment vertical="center" shrinkToFit="1"/>
    </xf>
    <xf numFmtId="0" fontId="10" fillId="2" borderId="15" xfId="0" applyFont="1" applyFill="1" applyBorder="1" applyAlignment="1">
      <alignment vertical="center" shrinkToFit="1"/>
    </xf>
    <xf numFmtId="3" fontId="11" fillId="2" borderId="14" xfId="0" applyNumberFormat="1" applyFont="1" applyFill="1" applyBorder="1" applyAlignment="1">
      <alignment vertical="center" shrinkToFit="1"/>
    </xf>
    <xf numFmtId="3" fontId="11" fillId="0" borderId="14" xfId="0" applyNumberFormat="1" applyFont="1" applyBorder="1" applyAlignment="1">
      <alignment vertical="center" shrinkToFit="1"/>
    </xf>
    <xf numFmtId="3" fontId="10" fillId="3" borderId="14" xfId="0" applyNumberFormat="1" applyFont="1" applyFill="1" applyBorder="1" applyAlignment="1">
      <alignment horizontal="right" vertical="center" shrinkToFit="1"/>
    </xf>
    <xf numFmtId="3" fontId="11" fillId="3" borderId="14" xfId="0" applyNumberFormat="1" applyFont="1" applyFill="1" applyBorder="1" applyAlignment="1">
      <alignment vertical="center" shrinkToFit="1"/>
    </xf>
    <xf numFmtId="3" fontId="10" fillId="11" borderId="15" xfId="0" applyNumberFormat="1" applyFont="1" applyFill="1" applyBorder="1" applyAlignment="1">
      <alignment horizontal="right" vertical="center" shrinkToFit="1"/>
    </xf>
    <xf numFmtId="3" fontId="10" fillId="12" borderId="14" xfId="0" applyNumberFormat="1" applyFont="1" applyFill="1" applyBorder="1" applyAlignment="1">
      <alignment horizontal="right" vertical="center" shrinkToFit="1"/>
    </xf>
    <xf numFmtId="3" fontId="10" fillId="3" borderId="10" xfId="0" applyNumberFormat="1" applyFont="1" applyFill="1" applyBorder="1" applyAlignment="1">
      <alignment horizontal="right" vertical="center" shrinkToFit="1"/>
    </xf>
    <xf numFmtId="49" fontId="10" fillId="0" borderId="1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6" borderId="1" xfId="0" applyNumberFormat="1" applyFont="1" applyFill="1" applyBorder="1" applyAlignment="1">
      <alignment vertical="center"/>
    </xf>
    <xf numFmtId="49" fontId="10" fillId="6" borderId="0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49" fontId="10" fillId="7" borderId="1" xfId="0" applyNumberFormat="1" applyFont="1" applyFill="1" applyBorder="1" applyAlignment="1">
      <alignment vertical="center"/>
    </xf>
    <xf numFmtId="49" fontId="10" fillId="7" borderId="0" xfId="0" applyNumberFormat="1" applyFont="1" applyFill="1" applyBorder="1" applyAlignment="1">
      <alignment vertical="center"/>
    </xf>
    <xf numFmtId="49" fontId="10" fillId="4" borderId="1" xfId="0" applyNumberFormat="1" applyFont="1" applyFill="1" applyBorder="1" applyAlignment="1">
      <alignment vertical="center"/>
    </xf>
    <xf numFmtId="49" fontId="10" fillId="4" borderId="0" xfId="0" applyNumberFormat="1" applyFont="1" applyFill="1" applyBorder="1" applyAlignment="1">
      <alignment vertical="center"/>
    </xf>
    <xf numFmtId="49" fontId="10" fillId="11" borderId="1" xfId="0" applyNumberFormat="1" applyFont="1" applyFill="1" applyBorder="1" applyAlignment="1">
      <alignment vertical="center"/>
    </xf>
    <xf numFmtId="49" fontId="10" fillId="11" borderId="0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11" borderId="1" xfId="0" applyNumberFormat="1" applyFont="1" applyFill="1" applyBorder="1" applyAlignment="1">
      <alignment vertical="center"/>
    </xf>
    <xf numFmtId="49" fontId="10" fillId="11" borderId="0" xfId="0" applyNumberFormat="1" applyFont="1" applyFill="1" applyBorder="1" applyAlignment="1">
      <alignment vertical="center"/>
    </xf>
    <xf numFmtId="49" fontId="10" fillId="6" borderId="1" xfId="0" applyNumberFormat="1" applyFont="1" applyFill="1" applyBorder="1" applyAlignment="1">
      <alignment vertical="center"/>
    </xf>
    <xf numFmtId="49" fontId="10" fillId="6" borderId="0" xfId="0" applyNumberFormat="1" applyFont="1" applyFill="1" applyBorder="1" applyAlignment="1">
      <alignment vertical="center"/>
    </xf>
    <xf numFmtId="49" fontId="10" fillId="7" borderId="1" xfId="0" applyNumberFormat="1" applyFont="1" applyFill="1" applyBorder="1" applyAlignment="1">
      <alignment vertical="center"/>
    </xf>
    <xf numFmtId="49" fontId="10" fillId="7" borderId="0" xfId="0" applyNumberFormat="1" applyFont="1" applyFill="1" applyBorder="1" applyAlignment="1">
      <alignment vertical="center"/>
    </xf>
    <xf numFmtId="49" fontId="10" fillId="4" borderId="1" xfId="0" applyNumberFormat="1" applyFont="1" applyFill="1" applyBorder="1" applyAlignment="1">
      <alignment vertical="center"/>
    </xf>
    <xf numFmtId="49" fontId="10" fillId="4" borderId="0" xfId="0" applyNumberFormat="1" applyFont="1" applyFill="1" applyBorder="1" applyAlignment="1">
      <alignment vertical="center"/>
    </xf>
    <xf numFmtId="49" fontId="10" fillId="15" borderId="1" xfId="0" applyNumberFormat="1" applyFont="1" applyFill="1" applyBorder="1" applyAlignment="1">
      <alignment vertical="center"/>
    </xf>
    <xf numFmtId="49" fontId="10" fillId="15" borderId="0" xfId="0" applyNumberFormat="1" applyFont="1" applyFill="1" applyBorder="1" applyAlignment="1">
      <alignment vertical="center"/>
    </xf>
    <xf numFmtId="3" fontId="10" fillId="15" borderId="15" xfId="0" applyNumberFormat="1" applyFont="1" applyFill="1" applyBorder="1" applyAlignment="1">
      <alignment horizontal="right" vertical="center" shrinkToFit="1"/>
    </xf>
    <xf numFmtId="3" fontId="10" fillId="15" borderId="14" xfId="0" applyNumberFormat="1" applyFont="1" applyFill="1" applyBorder="1" applyAlignment="1">
      <alignment horizontal="right" vertical="center" shrinkToFit="1"/>
    </xf>
    <xf numFmtId="3" fontId="11" fillId="15" borderId="14" xfId="0" applyNumberFormat="1" applyFont="1" applyFill="1" applyBorder="1" applyAlignment="1">
      <alignment vertical="center" shrinkToFit="1"/>
    </xf>
    <xf numFmtId="0" fontId="11" fillId="15" borderId="0" xfId="0" applyFont="1" applyFill="1">
      <alignment vertical="center"/>
    </xf>
    <xf numFmtId="3" fontId="10" fillId="13" borderId="15" xfId="0" applyNumberFormat="1" applyFont="1" applyFill="1" applyBorder="1" applyAlignment="1">
      <alignment horizontal="right" vertical="center" shrinkToFit="1"/>
    </xf>
    <xf numFmtId="3" fontId="10" fillId="13" borderId="14" xfId="0" applyNumberFormat="1" applyFont="1" applyFill="1" applyBorder="1" applyAlignment="1">
      <alignment horizontal="right" vertical="center" shrinkToFit="1"/>
    </xf>
    <xf numFmtId="3" fontId="16" fillId="13" borderId="15" xfId="0" applyNumberFormat="1" applyFont="1" applyFill="1" applyBorder="1" applyAlignment="1">
      <alignment horizontal="right" vertical="center" shrinkToFit="1"/>
    </xf>
    <xf numFmtId="49" fontId="3" fillId="0" borderId="3" xfId="0" applyNumberFormat="1" applyFont="1" applyBorder="1" applyAlignment="1">
      <alignment horizontal="center" vertical="center"/>
    </xf>
    <xf numFmtId="49" fontId="15" fillId="13" borderId="4" xfId="0" applyNumberFormat="1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vertical="center"/>
    </xf>
    <xf numFmtId="0" fontId="10" fillId="13" borderId="14" xfId="0" applyFont="1" applyFill="1" applyBorder="1" applyAlignment="1">
      <alignment vertical="center"/>
    </xf>
    <xf numFmtId="0" fontId="10" fillId="0" borderId="15" xfId="0" applyFont="1" applyBorder="1" applyAlignment="1">
      <alignment vertical="center" shrinkToFit="1"/>
    </xf>
    <xf numFmtId="3" fontId="10" fillId="13" borderId="7" xfId="0" applyNumberFormat="1" applyFont="1" applyFill="1" applyBorder="1" applyAlignment="1">
      <alignment horizontal="right" vertical="center" shrinkToFit="1"/>
    </xf>
    <xf numFmtId="3" fontId="10" fillId="13" borderId="11" xfId="0" applyNumberFormat="1" applyFont="1" applyFill="1" applyBorder="1" applyAlignment="1">
      <alignment horizontal="right" vertical="center" shrinkToFit="1"/>
    </xf>
    <xf numFmtId="3" fontId="10" fillId="8" borderId="13" xfId="0" applyNumberFormat="1" applyFont="1" applyFill="1" applyBorder="1" applyAlignment="1">
      <alignment horizontal="right" vertical="center"/>
    </xf>
    <xf numFmtId="0" fontId="10" fillId="8" borderId="7" xfId="0" applyFont="1" applyFill="1" applyBorder="1" applyAlignment="1">
      <alignment vertical="center"/>
    </xf>
    <xf numFmtId="0" fontId="11" fillId="13" borderId="0" xfId="0" applyFont="1" applyFill="1">
      <alignment vertical="center"/>
    </xf>
    <xf numFmtId="176" fontId="9" fillId="12" borderId="2" xfId="0" applyNumberFormat="1" applyFont="1" applyFill="1" applyBorder="1" applyAlignment="1">
      <alignment vertical="center"/>
    </xf>
    <xf numFmtId="176" fontId="9" fillId="12" borderId="1" xfId="0" applyNumberFormat="1" applyFont="1" applyFill="1" applyBorder="1" applyAlignment="1">
      <alignment vertical="center"/>
    </xf>
    <xf numFmtId="176" fontId="9" fillId="12" borderId="1" xfId="0" applyNumberFormat="1" applyFont="1" applyFill="1" applyBorder="1" applyAlignment="1">
      <alignment horizontal="right" vertical="center"/>
    </xf>
    <xf numFmtId="176" fontId="9" fillId="12" borderId="4" xfId="0" applyNumberFormat="1" applyFont="1" applyFill="1" applyBorder="1" applyAlignment="1">
      <alignment horizontal="right" vertical="center"/>
    </xf>
    <xf numFmtId="176" fontId="9" fillId="12" borderId="2" xfId="0" applyNumberFormat="1" applyFont="1" applyFill="1" applyBorder="1" applyAlignment="1">
      <alignment horizontal="right" vertical="center"/>
    </xf>
    <xf numFmtId="176" fontId="9" fillId="12" borderId="0" xfId="0" applyNumberFormat="1" applyFont="1" applyFill="1">
      <alignment vertical="center"/>
    </xf>
    <xf numFmtId="0" fontId="9" fillId="12" borderId="0" xfId="0" applyFont="1" applyFill="1">
      <alignment vertical="center"/>
    </xf>
    <xf numFmtId="49" fontId="10" fillId="8" borderId="1" xfId="0" applyNumberFormat="1" applyFont="1" applyFill="1" applyBorder="1" applyAlignment="1">
      <alignment vertical="center"/>
    </xf>
    <xf numFmtId="49" fontId="10" fillId="8" borderId="0" xfId="0" applyNumberFormat="1" applyFont="1" applyFill="1" applyBorder="1" applyAlignment="1">
      <alignment vertical="center"/>
    </xf>
    <xf numFmtId="49" fontId="10" fillId="8" borderId="5" xfId="0" applyNumberFormat="1" applyFont="1" applyFill="1" applyBorder="1" applyAlignment="1">
      <alignment vertical="center"/>
    </xf>
    <xf numFmtId="49" fontId="10" fillId="8" borderId="6" xfId="0" applyNumberFormat="1" applyFont="1" applyFill="1" applyBorder="1" applyAlignment="1">
      <alignment vertical="center"/>
    </xf>
    <xf numFmtId="49" fontId="10" fillId="14" borderId="1" xfId="0" applyNumberFormat="1" applyFont="1" applyFill="1" applyBorder="1" applyAlignment="1">
      <alignment vertical="center"/>
    </xf>
    <xf numFmtId="49" fontId="10" fillId="14" borderId="0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6" borderId="1" xfId="0" applyNumberFormat="1" applyFont="1" applyFill="1" applyBorder="1" applyAlignment="1">
      <alignment vertical="center"/>
    </xf>
    <xf numFmtId="49" fontId="10" fillId="6" borderId="0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49" fontId="10" fillId="3" borderId="0" xfId="0" applyNumberFormat="1" applyFont="1" applyFill="1" applyBorder="1" applyAlignment="1">
      <alignment vertical="center"/>
    </xf>
    <xf numFmtId="49" fontId="10" fillId="11" borderId="1" xfId="0" applyNumberFormat="1" applyFont="1" applyFill="1" applyBorder="1" applyAlignment="1">
      <alignment vertical="center"/>
    </xf>
    <xf numFmtId="49" fontId="10" fillId="11" borderId="0" xfId="0" applyNumberFormat="1" applyFont="1" applyFill="1" applyBorder="1" applyAlignment="1">
      <alignment vertical="center"/>
    </xf>
    <xf numFmtId="49" fontId="10" fillId="7" borderId="1" xfId="0" applyNumberFormat="1" applyFont="1" applyFill="1" applyBorder="1" applyAlignment="1">
      <alignment vertical="center"/>
    </xf>
    <xf numFmtId="49" fontId="10" fillId="7" borderId="0" xfId="0" applyNumberFormat="1" applyFont="1" applyFill="1" applyBorder="1" applyAlignment="1">
      <alignment vertical="center"/>
    </xf>
    <xf numFmtId="49" fontId="10" fillId="4" borderId="1" xfId="0" applyNumberFormat="1" applyFont="1" applyFill="1" applyBorder="1" applyAlignment="1">
      <alignment vertical="center"/>
    </xf>
    <xf numFmtId="49" fontId="10" fillId="4" borderId="0" xfId="0" applyNumberFormat="1" applyFont="1" applyFill="1" applyBorder="1" applyAlignment="1">
      <alignment vertical="center"/>
    </xf>
    <xf numFmtId="49" fontId="10" fillId="10" borderId="1" xfId="0" applyNumberFormat="1" applyFont="1" applyFill="1" applyBorder="1" applyAlignment="1">
      <alignment vertical="center"/>
    </xf>
    <xf numFmtId="49" fontId="10" fillId="10" borderId="0" xfId="0" applyNumberFormat="1" applyFont="1" applyFill="1" applyBorder="1" applyAlignment="1">
      <alignment vertical="center"/>
    </xf>
    <xf numFmtId="49" fontId="10" fillId="9" borderId="1" xfId="0" applyNumberFormat="1" applyFont="1" applyFill="1" applyBorder="1" applyAlignment="1">
      <alignment vertical="center"/>
    </xf>
    <xf numFmtId="49" fontId="10" fillId="9" borderId="0" xfId="0" applyNumberFormat="1" applyFont="1" applyFill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topLeftCell="C39" workbookViewId="0">
      <selection activeCell="Z66" sqref="Z66"/>
    </sheetView>
  </sheetViews>
  <sheetFormatPr defaultRowHeight="13.5" x14ac:dyDescent="0.15"/>
  <cols>
    <col min="1" max="1" width="7.125" customWidth="1"/>
    <col min="6" max="6" width="4.125" customWidth="1"/>
    <col min="7" max="7" width="10.875" customWidth="1"/>
    <col min="8" max="8" width="7.875" customWidth="1"/>
    <col min="9" max="9" width="2.5" customWidth="1"/>
    <col min="10" max="10" width="5.75" customWidth="1"/>
    <col min="11" max="11" width="7.875" customWidth="1"/>
    <col min="12" max="17" width="5.875" customWidth="1"/>
    <col min="18" max="18" width="5.5" customWidth="1"/>
    <col min="19" max="19" width="7.125" customWidth="1"/>
    <col min="20" max="20" width="6.75" customWidth="1"/>
    <col min="21" max="21" width="7.125" customWidth="1"/>
    <col min="22" max="22" width="9.5" customWidth="1"/>
    <col min="23" max="23" width="10" customWidth="1"/>
    <col min="24" max="24" width="10.125" customWidth="1"/>
    <col min="25" max="25" width="10.875" customWidth="1"/>
  </cols>
  <sheetData>
    <row r="1" spans="1:25" s="3" customFormat="1" ht="18.75" customHeight="1" x14ac:dyDescent="0.15">
      <c r="A1" s="4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ht="13.5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1:25" x14ac:dyDescent="0.15">
      <c r="A3" s="204" t="s">
        <v>142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</row>
    <row r="4" spans="1:25" x14ac:dyDescent="0.15">
      <c r="A4" s="205" t="s">
        <v>0</v>
      </c>
      <c r="B4" s="205"/>
      <c r="C4" s="205"/>
      <c r="D4" s="205"/>
      <c r="E4" s="205"/>
      <c r="F4" s="20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5" hidden="1" x14ac:dyDescent="0.15">
      <c r="A5" s="206" t="s">
        <v>1</v>
      </c>
      <c r="B5" s="207"/>
      <c r="C5" s="207"/>
      <c r="D5" s="207"/>
      <c r="E5" s="207"/>
      <c r="F5" s="208"/>
      <c r="G5" s="212" t="s">
        <v>2</v>
      </c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4" t="s">
        <v>14</v>
      </c>
    </row>
    <row r="6" spans="1:25" ht="30" customHeight="1" x14ac:dyDescent="0.15">
      <c r="A6" s="209"/>
      <c r="B6" s="210"/>
      <c r="C6" s="210"/>
      <c r="D6" s="210"/>
      <c r="E6" s="210"/>
      <c r="F6" s="211"/>
      <c r="G6" s="6" t="s">
        <v>3</v>
      </c>
      <c r="H6" s="6" t="s">
        <v>4</v>
      </c>
      <c r="I6" s="6" t="s">
        <v>5</v>
      </c>
      <c r="J6" s="81" t="s">
        <v>6</v>
      </c>
      <c r="K6" s="81" t="s">
        <v>7</v>
      </c>
      <c r="L6" s="81" t="s">
        <v>86</v>
      </c>
      <c r="M6" s="81" t="s">
        <v>87</v>
      </c>
      <c r="N6" s="81" t="s">
        <v>8</v>
      </c>
      <c r="O6" s="81" t="s">
        <v>9</v>
      </c>
      <c r="P6" s="81" t="s">
        <v>10</v>
      </c>
      <c r="Q6" s="81" t="s">
        <v>11</v>
      </c>
      <c r="R6" s="81" t="s">
        <v>98</v>
      </c>
      <c r="S6" s="6" t="s">
        <v>97</v>
      </c>
      <c r="T6" s="6" t="s">
        <v>12</v>
      </c>
      <c r="U6" s="6" t="s">
        <v>96</v>
      </c>
      <c r="V6" s="6" t="s">
        <v>13</v>
      </c>
      <c r="W6" s="215"/>
      <c r="X6" s="7" t="s">
        <v>109</v>
      </c>
      <c r="Y6" s="8" t="s">
        <v>81</v>
      </c>
    </row>
    <row r="7" spans="1:25" s="12" customFormat="1" ht="5.25" customHeight="1" x14ac:dyDescent="0.15">
      <c r="A7" s="202" t="s">
        <v>15</v>
      </c>
      <c r="B7" s="203"/>
      <c r="C7" s="203"/>
      <c r="D7" s="203"/>
      <c r="E7" s="203"/>
      <c r="F7" s="20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Y7" s="9"/>
    </row>
    <row r="8" spans="1:25" s="12" customFormat="1" ht="5.25" customHeight="1" x14ac:dyDescent="0.15">
      <c r="A8" s="186" t="s">
        <v>16</v>
      </c>
      <c r="B8" s="187"/>
      <c r="C8" s="187"/>
      <c r="D8" s="187"/>
      <c r="E8" s="187"/>
      <c r="F8" s="187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Y8" s="9"/>
    </row>
    <row r="9" spans="1:25" s="12" customFormat="1" ht="5.25" customHeight="1" x14ac:dyDescent="0.15">
      <c r="A9" s="186" t="s">
        <v>17</v>
      </c>
      <c r="B9" s="187"/>
      <c r="C9" s="187"/>
      <c r="D9" s="187"/>
      <c r="E9" s="187"/>
      <c r="F9" s="187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/>
      <c r="Y9" s="9"/>
    </row>
    <row r="10" spans="1:25" s="15" customFormat="1" ht="12" x14ac:dyDescent="0.15">
      <c r="A10" s="188" t="s">
        <v>18</v>
      </c>
      <c r="B10" s="189"/>
      <c r="C10" s="189"/>
      <c r="D10" s="189"/>
      <c r="E10" s="189"/>
      <c r="F10" s="189"/>
      <c r="G10" s="83">
        <f t="shared" ref="G10:X10" si="0">SUM(G11)</f>
        <v>0</v>
      </c>
      <c r="H10" s="83">
        <f t="shared" si="0"/>
        <v>0</v>
      </c>
      <c r="I10" s="83">
        <f t="shared" si="0"/>
        <v>0</v>
      </c>
      <c r="J10" s="83">
        <f t="shared" si="0"/>
        <v>0</v>
      </c>
      <c r="K10" s="83">
        <f t="shared" si="0"/>
        <v>0</v>
      </c>
      <c r="L10" s="83">
        <f t="shared" si="0"/>
        <v>0</v>
      </c>
      <c r="M10" s="83">
        <f t="shared" si="0"/>
        <v>0</v>
      </c>
      <c r="N10" s="83">
        <f t="shared" si="0"/>
        <v>0</v>
      </c>
      <c r="O10" s="83">
        <f t="shared" si="0"/>
        <v>0</v>
      </c>
      <c r="P10" s="83">
        <f t="shared" si="0"/>
        <v>0</v>
      </c>
      <c r="Q10" s="83">
        <f t="shared" si="0"/>
        <v>0</v>
      </c>
      <c r="R10" s="83">
        <f t="shared" si="0"/>
        <v>0</v>
      </c>
      <c r="S10" s="83">
        <f t="shared" si="0"/>
        <v>0</v>
      </c>
      <c r="T10" s="83">
        <f t="shared" si="0"/>
        <v>0</v>
      </c>
      <c r="U10" s="83">
        <f t="shared" si="0"/>
        <v>0</v>
      </c>
      <c r="V10" s="83">
        <f t="shared" si="0"/>
        <v>0</v>
      </c>
      <c r="W10" s="84">
        <f>SUM(G10:V10)</f>
        <v>0</v>
      </c>
      <c r="X10" s="85">
        <f t="shared" si="0"/>
        <v>0</v>
      </c>
      <c r="Y10" s="86">
        <f>SUM(W10:X10)</f>
        <v>0</v>
      </c>
    </row>
    <row r="11" spans="1:25" s="12" customFormat="1" ht="12" x14ac:dyDescent="0.15">
      <c r="A11" s="186" t="s">
        <v>19</v>
      </c>
      <c r="B11" s="187"/>
      <c r="C11" s="187"/>
      <c r="D11" s="187"/>
      <c r="E11" s="187"/>
      <c r="F11" s="187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87">
        <f t="shared" ref="W11:W17" si="1">SUM(G11:V11)</f>
        <v>0</v>
      </c>
      <c r="X11" s="88"/>
      <c r="Y11" s="89">
        <f t="shared" ref="Y11:Y81" si="2">SUM(W11:X11)</f>
        <v>0</v>
      </c>
    </row>
    <row r="12" spans="1:25" s="15" customFormat="1" ht="12" x14ac:dyDescent="0.15">
      <c r="A12" s="188" t="s">
        <v>20</v>
      </c>
      <c r="B12" s="189"/>
      <c r="C12" s="189"/>
      <c r="D12" s="189"/>
      <c r="E12" s="189"/>
      <c r="F12" s="189"/>
      <c r="G12" s="83">
        <f>SUM(G13)</f>
        <v>0</v>
      </c>
      <c r="H12" s="83">
        <f t="shared" ref="H12:X12" si="3">SUM(H13)</f>
        <v>0</v>
      </c>
      <c r="I12" s="83">
        <f t="shared" si="3"/>
        <v>0</v>
      </c>
      <c r="J12" s="83">
        <f t="shared" si="3"/>
        <v>0</v>
      </c>
      <c r="K12" s="83">
        <f t="shared" si="3"/>
        <v>0</v>
      </c>
      <c r="L12" s="83">
        <f t="shared" si="3"/>
        <v>0</v>
      </c>
      <c r="M12" s="83">
        <f t="shared" si="3"/>
        <v>0</v>
      </c>
      <c r="N12" s="83">
        <f t="shared" si="3"/>
        <v>0</v>
      </c>
      <c r="O12" s="83">
        <f t="shared" si="3"/>
        <v>0</v>
      </c>
      <c r="P12" s="83">
        <f t="shared" si="3"/>
        <v>0</v>
      </c>
      <c r="Q12" s="83">
        <f t="shared" si="3"/>
        <v>0</v>
      </c>
      <c r="R12" s="83">
        <f t="shared" si="3"/>
        <v>0</v>
      </c>
      <c r="S12" s="83">
        <f t="shared" si="3"/>
        <v>0</v>
      </c>
      <c r="T12" s="83">
        <f t="shared" si="3"/>
        <v>0</v>
      </c>
      <c r="U12" s="83">
        <f t="shared" si="3"/>
        <v>0</v>
      </c>
      <c r="V12" s="83">
        <f t="shared" si="3"/>
        <v>3031140</v>
      </c>
      <c r="W12" s="84">
        <f t="shared" si="1"/>
        <v>3031140</v>
      </c>
      <c r="X12" s="85">
        <f t="shared" si="3"/>
        <v>0</v>
      </c>
      <c r="Y12" s="86">
        <f>SUM(W12:X12)</f>
        <v>3031140</v>
      </c>
    </row>
    <row r="13" spans="1:25" s="12" customFormat="1" ht="12" x14ac:dyDescent="0.15">
      <c r="A13" s="186" t="s">
        <v>21</v>
      </c>
      <c r="B13" s="187"/>
      <c r="C13" s="187"/>
      <c r="D13" s="187"/>
      <c r="E13" s="187"/>
      <c r="F13" s="187"/>
      <c r="G13" s="90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>
        <v>3031140</v>
      </c>
      <c r="W13" s="87">
        <f t="shared" si="1"/>
        <v>3031140</v>
      </c>
      <c r="X13" s="88"/>
      <c r="Y13" s="89">
        <f t="shared" si="2"/>
        <v>3031140</v>
      </c>
    </row>
    <row r="14" spans="1:25" s="15" customFormat="1" ht="12" x14ac:dyDescent="0.15">
      <c r="A14" s="188" t="s">
        <v>22</v>
      </c>
      <c r="B14" s="189"/>
      <c r="C14" s="189"/>
      <c r="D14" s="189"/>
      <c r="E14" s="189"/>
      <c r="F14" s="189"/>
      <c r="G14" s="83">
        <f>SUM(G15:G17)</f>
        <v>4980000</v>
      </c>
      <c r="H14" s="83">
        <f t="shared" ref="H14:X14" si="4">SUM(H15:H17)</f>
        <v>0</v>
      </c>
      <c r="I14" s="83">
        <f t="shared" si="4"/>
        <v>0</v>
      </c>
      <c r="J14" s="83">
        <f t="shared" si="4"/>
        <v>0</v>
      </c>
      <c r="K14" s="91">
        <f t="shared" si="4"/>
        <v>9080000</v>
      </c>
      <c r="L14" s="83">
        <f t="shared" si="4"/>
        <v>0</v>
      </c>
      <c r="M14" s="83">
        <f t="shared" si="4"/>
        <v>0</v>
      </c>
      <c r="N14" s="83">
        <f t="shared" si="4"/>
        <v>0</v>
      </c>
      <c r="O14" s="83">
        <f t="shared" si="4"/>
        <v>0</v>
      </c>
      <c r="P14" s="83">
        <f t="shared" si="4"/>
        <v>0</v>
      </c>
      <c r="Q14" s="83">
        <f t="shared" si="4"/>
        <v>0</v>
      </c>
      <c r="R14" s="83">
        <f t="shared" si="4"/>
        <v>0</v>
      </c>
      <c r="S14" s="83">
        <f t="shared" si="4"/>
        <v>0</v>
      </c>
      <c r="T14" s="83">
        <f t="shared" si="4"/>
        <v>0</v>
      </c>
      <c r="U14" s="83">
        <f t="shared" si="4"/>
        <v>0</v>
      </c>
      <c r="V14" s="83">
        <f t="shared" si="4"/>
        <v>869000</v>
      </c>
      <c r="W14" s="84">
        <f t="shared" si="1"/>
        <v>14929000</v>
      </c>
      <c r="X14" s="85">
        <f t="shared" si="4"/>
        <v>0</v>
      </c>
      <c r="Y14" s="86">
        <f t="shared" si="2"/>
        <v>14929000</v>
      </c>
    </row>
    <row r="15" spans="1:25" s="12" customFormat="1" ht="12" x14ac:dyDescent="0.15">
      <c r="A15" s="186" t="s">
        <v>23</v>
      </c>
      <c r="B15" s="187"/>
      <c r="C15" s="187"/>
      <c r="D15" s="187"/>
      <c r="E15" s="187"/>
      <c r="F15" s="187"/>
      <c r="G15" s="39">
        <v>4980000</v>
      </c>
      <c r="H15" s="39"/>
      <c r="I15" s="39"/>
      <c r="J15" s="39"/>
      <c r="K15" s="92">
        <v>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>
        <v>0</v>
      </c>
      <c r="W15" s="87">
        <f t="shared" si="1"/>
        <v>4980000</v>
      </c>
      <c r="X15" s="88"/>
      <c r="Y15" s="89">
        <f t="shared" si="2"/>
        <v>4980000</v>
      </c>
    </row>
    <row r="16" spans="1:25" s="32" customFormat="1" ht="12" x14ac:dyDescent="0.15">
      <c r="A16" s="200" t="s">
        <v>24</v>
      </c>
      <c r="B16" s="201"/>
      <c r="C16" s="201"/>
      <c r="D16" s="201"/>
      <c r="E16" s="201"/>
      <c r="F16" s="201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>
        <v>869000</v>
      </c>
      <c r="W16" s="93">
        <f t="shared" si="1"/>
        <v>869000</v>
      </c>
      <c r="X16" s="94">
        <v>0</v>
      </c>
      <c r="Y16" s="95">
        <f t="shared" si="2"/>
        <v>869000</v>
      </c>
    </row>
    <row r="17" spans="1:25" s="32" customFormat="1" ht="12" x14ac:dyDescent="0.15">
      <c r="A17" s="200" t="s">
        <v>144</v>
      </c>
      <c r="B17" s="201"/>
      <c r="C17" s="201"/>
      <c r="D17" s="201"/>
      <c r="E17" s="201"/>
      <c r="F17" s="201"/>
      <c r="G17" s="70"/>
      <c r="H17" s="70"/>
      <c r="I17" s="70"/>
      <c r="J17" s="70"/>
      <c r="K17" s="70">
        <v>9080000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93">
        <f t="shared" si="1"/>
        <v>9080000</v>
      </c>
      <c r="X17" s="94">
        <v>0</v>
      </c>
      <c r="Y17" s="95">
        <f t="shared" si="2"/>
        <v>9080000</v>
      </c>
    </row>
    <row r="18" spans="1:25" s="15" customFormat="1" ht="12" x14ac:dyDescent="0.15">
      <c r="A18" s="188" t="s">
        <v>25</v>
      </c>
      <c r="B18" s="189"/>
      <c r="C18" s="189"/>
      <c r="D18" s="189"/>
      <c r="E18" s="189"/>
      <c r="F18" s="189"/>
      <c r="G18" s="83">
        <f t="shared" ref="G18:Y18" si="5">SUM(G19:G20)</f>
        <v>0</v>
      </c>
      <c r="H18" s="83">
        <f t="shared" si="5"/>
        <v>252500</v>
      </c>
      <c r="I18" s="83">
        <f t="shared" si="5"/>
        <v>0</v>
      </c>
      <c r="J18" s="83">
        <f t="shared" si="5"/>
        <v>2640</v>
      </c>
      <c r="K18" s="83">
        <f t="shared" si="5"/>
        <v>0</v>
      </c>
      <c r="L18" s="83">
        <f t="shared" si="5"/>
        <v>3759</v>
      </c>
      <c r="M18" s="83">
        <f t="shared" si="5"/>
        <v>0</v>
      </c>
      <c r="N18" s="83">
        <f t="shared" si="5"/>
        <v>64498</v>
      </c>
      <c r="O18" s="83">
        <f t="shared" si="5"/>
        <v>0</v>
      </c>
      <c r="P18" s="83">
        <f t="shared" si="5"/>
        <v>19910</v>
      </c>
      <c r="Q18" s="83">
        <f t="shared" si="5"/>
        <v>2530</v>
      </c>
      <c r="R18" s="83">
        <f t="shared" si="5"/>
        <v>0</v>
      </c>
      <c r="S18" s="83">
        <f t="shared" si="5"/>
        <v>0</v>
      </c>
      <c r="T18" s="83">
        <f t="shared" si="5"/>
        <v>0</v>
      </c>
      <c r="U18" s="83">
        <f t="shared" si="5"/>
        <v>0</v>
      </c>
      <c r="V18" s="83">
        <f t="shared" si="5"/>
        <v>0</v>
      </c>
      <c r="W18" s="83">
        <f t="shared" si="5"/>
        <v>345837</v>
      </c>
      <c r="X18" s="83">
        <f t="shared" si="5"/>
        <v>0</v>
      </c>
      <c r="Y18" s="83">
        <f t="shared" si="5"/>
        <v>345837</v>
      </c>
    </row>
    <row r="19" spans="1:25" s="12" customFormat="1" ht="12" x14ac:dyDescent="0.15">
      <c r="A19" s="186" t="s">
        <v>83</v>
      </c>
      <c r="B19" s="187"/>
      <c r="C19" s="187"/>
      <c r="D19" s="187"/>
      <c r="E19" s="187"/>
      <c r="F19" s="187"/>
      <c r="G19" s="39"/>
      <c r="H19" s="96">
        <v>252500</v>
      </c>
      <c r="I19" s="39">
        <v>0</v>
      </c>
      <c r="J19" s="39">
        <v>2640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87">
        <f>SUM(G19:V19)</f>
        <v>255140</v>
      </c>
      <c r="X19" s="88"/>
      <c r="Y19" s="89">
        <f>SUM(W19:X19)</f>
        <v>255140</v>
      </c>
    </row>
    <row r="20" spans="1:25" s="12" customFormat="1" ht="12" x14ac:dyDescent="0.15">
      <c r="A20" s="186" t="s">
        <v>26</v>
      </c>
      <c r="B20" s="187"/>
      <c r="C20" s="187"/>
      <c r="D20" s="187"/>
      <c r="E20" s="187"/>
      <c r="F20" s="187"/>
      <c r="G20" s="39">
        <f>SUM(G21:G22)</f>
        <v>0</v>
      </c>
      <c r="H20" s="39">
        <f t="shared" ref="H20:V20" si="6">SUM(H21:H22)</f>
        <v>0</v>
      </c>
      <c r="I20" s="39">
        <f t="shared" si="6"/>
        <v>0</v>
      </c>
      <c r="J20" s="39">
        <f t="shared" si="6"/>
        <v>0</v>
      </c>
      <c r="K20" s="39">
        <f t="shared" si="6"/>
        <v>0</v>
      </c>
      <c r="L20" s="39">
        <v>3759</v>
      </c>
      <c r="M20" s="39"/>
      <c r="N20" s="71">
        <v>64498</v>
      </c>
      <c r="O20" s="96">
        <f t="shared" si="6"/>
        <v>0</v>
      </c>
      <c r="P20" s="96">
        <v>19910</v>
      </c>
      <c r="Q20" s="96">
        <v>2530</v>
      </c>
      <c r="R20" s="39">
        <f t="shared" si="6"/>
        <v>0</v>
      </c>
      <c r="S20" s="39">
        <f t="shared" si="6"/>
        <v>0</v>
      </c>
      <c r="T20" s="39">
        <f t="shared" si="6"/>
        <v>0</v>
      </c>
      <c r="U20" s="39">
        <f t="shared" si="6"/>
        <v>0</v>
      </c>
      <c r="V20" s="39">
        <f t="shared" si="6"/>
        <v>0</v>
      </c>
      <c r="W20" s="87">
        <f>SUM(G20:V20)</f>
        <v>90697</v>
      </c>
      <c r="X20" s="39"/>
      <c r="Y20" s="89">
        <f>SUM(W20:X20)</f>
        <v>90697</v>
      </c>
    </row>
    <row r="21" spans="1:25" s="12" customFormat="1" ht="12" x14ac:dyDescent="0.15">
      <c r="A21" s="132"/>
      <c r="B21" s="133"/>
      <c r="C21" s="133" t="s">
        <v>84</v>
      </c>
      <c r="D21" s="133"/>
      <c r="E21" s="133"/>
      <c r="F21" s="133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97"/>
      <c r="T21" s="97"/>
      <c r="U21" s="97"/>
      <c r="V21" s="39"/>
      <c r="W21" s="87">
        <f>SUM(G21:V21)</f>
        <v>0</v>
      </c>
      <c r="X21" s="88"/>
      <c r="Y21" s="89">
        <f t="shared" ref="Y21" si="7">SUM(W21:X21)</f>
        <v>0</v>
      </c>
    </row>
    <row r="22" spans="1:25" s="18" customFormat="1" ht="12" x14ac:dyDescent="0.15">
      <c r="A22" s="16"/>
      <c r="B22" s="17"/>
      <c r="C22" s="17" t="s">
        <v>85</v>
      </c>
      <c r="D22" s="17"/>
      <c r="E22" s="17"/>
      <c r="F22" s="17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9">
        <f>SUM(G22:V22)</f>
        <v>0</v>
      </c>
      <c r="X22" s="100"/>
      <c r="Y22" s="101">
        <f t="shared" si="2"/>
        <v>0</v>
      </c>
    </row>
    <row r="23" spans="1:25" s="15" customFormat="1" ht="12" x14ac:dyDescent="0.15">
      <c r="A23" s="188" t="s">
        <v>27</v>
      </c>
      <c r="B23" s="189"/>
      <c r="C23" s="189"/>
      <c r="D23" s="189"/>
      <c r="E23" s="189"/>
      <c r="F23" s="189"/>
      <c r="G23" s="83">
        <f>SUM(G24:G25)</f>
        <v>30000</v>
      </c>
      <c r="H23" s="83">
        <f t="shared" ref="H23:X23" si="8">SUM(H24:H25)</f>
        <v>0</v>
      </c>
      <c r="I23" s="83">
        <f t="shared" si="8"/>
        <v>0</v>
      </c>
      <c r="J23" s="83">
        <f t="shared" si="8"/>
        <v>0</v>
      </c>
      <c r="K23" s="83">
        <f t="shared" si="8"/>
        <v>0</v>
      </c>
      <c r="L23" s="83">
        <f t="shared" si="8"/>
        <v>0</v>
      </c>
      <c r="M23" s="83">
        <f t="shared" si="8"/>
        <v>0</v>
      </c>
      <c r="N23" s="83">
        <f t="shared" si="8"/>
        <v>0</v>
      </c>
      <c r="O23" s="83">
        <f t="shared" si="8"/>
        <v>0</v>
      </c>
      <c r="P23" s="83">
        <f t="shared" si="8"/>
        <v>0</v>
      </c>
      <c r="Q23" s="83">
        <f t="shared" si="8"/>
        <v>0</v>
      </c>
      <c r="R23" s="83">
        <f t="shared" si="8"/>
        <v>0</v>
      </c>
      <c r="S23" s="83">
        <f t="shared" si="8"/>
        <v>0</v>
      </c>
      <c r="T23" s="83">
        <f t="shared" si="8"/>
        <v>0</v>
      </c>
      <c r="U23" s="83">
        <f t="shared" si="8"/>
        <v>0</v>
      </c>
      <c r="V23" s="83">
        <f>SUM(V24:V25)</f>
        <v>297</v>
      </c>
      <c r="W23" s="84">
        <f t="shared" ref="W23:W25" si="9">SUM(G23:V23)</f>
        <v>30297</v>
      </c>
      <c r="X23" s="83">
        <f t="shared" si="8"/>
        <v>0</v>
      </c>
      <c r="Y23" s="86">
        <f t="shared" si="2"/>
        <v>30297</v>
      </c>
    </row>
    <row r="24" spans="1:25" s="12" customFormat="1" ht="12" x14ac:dyDescent="0.15">
      <c r="A24" s="186" t="s">
        <v>88</v>
      </c>
      <c r="B24" s="187"/>
      <c r="C24" s="187"/>
      <c r="D24" s="187"/>
      <c r="E24" s="187"/>
      <c r="F24" s="187"/>
      <c r="G24" s="39">
        <v>30000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87">
        <f t="shared" si="9"/>
        <v>30000</v>
      </c>
      <c r="X24" s="88"/>
      <c r="Y24" s="89">
        <f t="shared" si="2"/>
        <v>30000</v>
      </c>
    </row>
    <row r="25" spans="1:25" s="12" customFormat="1" ht="12" x14ac:dyDescent="0.15">
      <c r="A25" s="186" t="s">
        <v>28</v>
      </c>
      <c r="B25" s="187"/>
      <c r="C25" s="187"/>
      <c r="D25" s="187"/>
      <c r="E25" s="187"/>
      <c r="F25" s="187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>
        <v>297</v>
      </c>
      <c r="W25" s="87">
        <f t="shared" si="9"/>
        <v>297</v>
      </c>
      <c r="X25" s="88"/>
      <c r="Y25" s="102">
        <f t="shared" si="2"/>
        <v>297</v>
      </c>
    </row>
    <row r="26" spans="1:25" s="12" customFormat="1" ht="12" x14ac:dyDescent="0.15">
      <c r="A26" s="186" t="s">
        <v>29</v>
      </c>
      <c r="B26" s="187"/>
      <c r="C26" s="187"/>
      <c r="D26" s="187"/>
      <c r="E26" s="187"/>
      <c r="F26" s="187"/>
      <c r="G26" s="72">
        <f t="shared" ref="G26:Y26" si="10">SUM(G10+G12+G14+G18+G23)</f>
        <v>5010000</v>
      </c>
      <c r="H26" s="72">
        <f t="shared" si="10"/>
        <v>252500</v>
      </c>
      <c r="I26" s="72">
        <f t="shared" si="10"/>
        <v>0</v>
      </c>
      <c r="J26" s="72">
        <f t="shared" si="10"/>
        <v>2640</v>
      </c>
      <c r="K26" s="103">
        <f t="shared" si="10"/>
        <v>9080000</v>
      </c>
      <c r="L26" s="72">
        <f t="shared" si="10"/>
        <v>3759</v>
      </c>
      <c r="M26" s="72">
        <f t="shared" si="10"/>
        <v>0</v>
      </c>
      <c r="N26" s="72">
        <f t="shared" si="10"/>
        <v>64498</v>
      </c>
      <c r="O26" s="72">
        <f t="shared" si="10"/>
        <v>0</v>
      </c>
      <c r="P26" s="72">
        <f t="shared" si="10"/>
        <v>19910</v>
      </c>
      <c r="Q26" s="72">
        <f t="shared" si="10"/>
        <v>2530</v>
      </c>
      <c r="R26" s="72">
        <f t="shared" si="10"/>
        <v>0</v>
      </c>
      <c r="S26" s="72">
        <f t="shared" si="10"/>
        <v>0</v>
      </c>
      <c r="T26" s="72">
        <f t="shared" si="10"/>
        <v>0</v>
      </c>
      <c r="U26" s="72">
        <f t="shared" si="10"/>
        <v>0</v>
      </c>
      <c r="V26" s="72">
        <f t="shared" si="10"/>
        <v>3900437</v>
      </c>
      <c r="W26" s="72">
        <f t="shared" si="10"/>
        <v>18336274</v>
      </c>
      <c r="X26" s="72">
        <f t="shared" si="10"/>
        <v>0</v>
      </c>
      <c r="Y26" s="72">
        <f t="shared" si="10"/>
        <v>18336274</v>
      </c>
    </row>
    <row r="27" spans="1:25" s="12" customFormat="1" ht="6" customHeight="1" x14ac:dyDescent="0.15">
      <c r="A27" s="186" t="s">
        <v>30</v>
      </c>
      <c r="B27" s="187"/>
      <c r="C27" s="187"/>
      <c r="D27" s="187"/>
      <c r="E27" s="187"/>
      <c r="F27" s="187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5"/>
      <c r="X27" s="104"/>
      <c r="Y27" s="106">
        <f t="shared" si="2"/>
        <v>0</v>
      </c>
    </row>
    <row r="28" spans="1:25" s="33" customFormat="1" ht="12" x14ac:dyDescent="0.15">
      <c r="A28" s="137"/>
      <c r="B28" s="138"/>
      <c r="C28" s="138" t="s">
        <v>103</v>
      </c>
      <c r="D28" s="138"/>
      <c r="E28" s="138"/>
      <c r="F28" s="138"/>
      <c r="G28" s="107">
        <v>77.400000000000006</v>
      </c>
      <c r="H28" s="107">
        <v>3.45</v>
      </c>
      <c r="I28" s="107">
        <v>0</v>
      </c>
      <c r="J28" s="107">
        <v>0.05</v>
      </c>
      <c r="K28" s="107">
        <v>0.5</v>
      </c>
      <c r="L28" s="107">
        <v>1</v>
      </c>
      <c r="M28" s="107">
        <v>0.7</v>
      </c>
      <c r="N28" s="107"/>
      <c r="O28" s="107"/>
      <c r="P28" s="107">
        <v>0.9</v>
      </c>
      <c r="Q28" s="107">
        <v>1</v>
      </c>
      <c r="R28" s="107"/>
      <c r="S28" s="107"/>
      <c r="T28" s="107"/>
      <c r="U28" s="107"/>
      <c r="V28" s="107">
        <v>15</v>
      </c>
      <c r="W28" s="108"/>
      <c r="X28" s="107"/>
      <c r="Y28" s="109"/>
    </row>
    <row r="29" spans="1:25" s="22" customFormat="1" ht="12" x14ac:dyDescent="0.15">
      <c r="A29" s="139"/>
      <c r="B29" s="140"/>
      <c r="C29" s="140" t="s">
        <v>104</v>
      </c>
      <c r="D29" s="140"/>
      <c r="E29" s="140"/>
      <c r="F29" s="140"/>
      <c r="G29" s="110">
        <v>95.1</v>
      </c>
      <c r="H29" s="110">
        <v>0.79</v>
      </c>
      <c r="I29" s="110"/>
      <c r="J29" s="110">
        <v>0.01</v>
      </c>
      <c r="K29" s="110"/>
      <c r="L29" s="110">
        <v>0.35</v>
      </c>
      <c r="M29" s="110">
        <v>0.15</v>
      </c>
      <c r="N29" s="110"/>
      <c r="O29" s="110"/>
      <c r="P29" s="110">
        <v>0.2</v>
      </c>
      <c r="Q29" s="110">
        <v>0.4</v>
      </c>
      <c r="R29" s="110"/>
      <c r="S29" s="110"/>
      <c r="T29" s="110"/>
      <c r="U29" s="110"/>
      <c r="V29" s="110">
        <v>3</v>
      </c>
      <c r="W29" s="111"/>
      <c r="X29" s="110"/>
      <c r="Y29" s="112"/>
    </row>
    <row r="30" spans="1:25" s="15" customFormat="1" ht="12" x14ac:dyDescent="0.15">
      <c r="A30" s="134"/>
      <c r="B30" s="135"/>
      <c r="C30" s="135" t="s">
        <v>94</v>
      </c>
      <c r="D30" s="135" t="s">
        <v>146</v>
      </c>
      <c r="E30" s="135"/>
      <c r="F30" s="135"/>
      <c r="G30" s="113">
        <f>G33/5489414*100</f>
        <v>84.388486712789373</v>
      </c>
      <c r="H30" s="113">
        <f t="shared" ref="H30:W30" si="11">H33/5489414*100</f>
        <v>2.3997528442926699</v>
      </c>
      <c r="I30" s="113">
        <f t="shared" si="11"/>
        <v>0</v>
      </c>
      <c r="J30" s="113">
        <f t="shared" si="11"/>
        <v>3.4206809688611575E-2</v>
      </c>
      <c r="K30" s="113">
        <f t="shared" si="11"/>
        <v>0.30258512110764468</v>
      </c>
      <c r="L30" s="113">
        <f t="shared" si="11"/>
        <v>0.74336065743993807</v>
      </c>
      <c r="M30" s="113">
        <f t="shared" si="11"/>
        <v>0.48284363321840912</v>
      </c>
      <c r="N30" s="113">
        <f t="shared" si="11"/>
        <v>0</v>
      </c>
      <c r="O30" s="113">
        <f t="shared" si="11"/>
        <v>0</v>
      </c>
      <c r="P30" s="113">
        <f t="shared" si="11"/>
        <v>0.62361916955070251</v>
      </c>
      <c r="Q30" s="113">
        <f t="shared" si="11"/>
        <v>0.76310214532917364</v>
      </c>
      <c r="R30" s="113">
        <f t="shared" si="11"/>
        <v>0</v>
      </c>
      <c r="S30" s="113">
        <f t="shared" si="11"/>
        <v>0</v>
      </c>
      <c r="T30" s="113">
        <f t="shared" si="11"/>
        <v>0</v>
      </c>
      <c r="U30" s="113">
        <f t="shared" si="11"/>
        <v>0</v>
      </c>
      <c r="V30" s="113">
        <f t="shared" si="11"/>
        <v>10.262042906583471</v>
      </c>
      <c r="W30" s="113">
        <f t="shared" si="11"/>
        <v>100</v>
      </c>
      <c r="X30" s="114" t="s">
        <v>108</v>
      </c>
      <c r="Y30" s="115"/>
    </row>
    <row r="31" spans="1:25" s="37" customFormat="1" ht="12" x14ac:dyDescent="0.15">
      <c r="A31" s="73"/>
      <c r="B31" s="74"/>
      <c r="C31" s="74"/>
      <c r="D31" s="74"/>
      <c r="E31" s="74"/>
      <c r="F31" s="74"/>
      <c r="G31" s="116">
        <f>G26/9191776*100</f>
        <v>54.505244688295271</v>
      </c>
      <c r="H31" s="116">
        <f t="shared" ref="H31:V31" si="12">H26/9191776*100</f>
        <v>2.7470208151286544</v>
      </c>
      <c r="I31" s="116">
        <f t="shared" si="12"/>
        <v>0</v>
      </c>
      <c r="J31" s="116">
        <f t="shared" si="12"/>
        <v>2.8721326542335234E-2</v>
      </c>
      <c r="K31" s="116">
        <f t="shared" si="12"/>
        <v>98.783956441062088</v>
      </c>
      <c r="L31" s="116">
        <f t="shared" si="12"/>
        <v>4.0895252451756875E-2</v>
      </c>
      <c r="M31" s="116">
        <f t="shared" si="12"/>
        <v>0</v>
      </c>
      <c r="N31" s="116">
        <f t="shared" si="12"/>
        <v>0.70169246944224928</v>
      </c>
      <c r="O31" s="116">
        <f t="shared" si="12"/>
        <v>0</v>
      </c>
      <c r="P31" s="116">
        <f t="shared" si="12"/>
        <v>0.21660667100677822</v>
      </c>
      <c r="Q31" s="116">
        <f t="shared" si="12"/>
        <v>2.7524604603071264E-2</v>
      </c>
      <c r="R31" s="116">
        <f t="shared" si="12"/>
        <v>0</v>
      </c>
      <c r="S31" s="116">
        <f t="shared" si="12"/>
        <v>0</v>
      </c>
      <c r="T31" s="116">
        <f t="shared" si="12"/>
        <v>0</v>
      </c>
      <c r="U31" s="116">
        <f t="shared" si="12"/>
        <v>0</v>
      </c>
      <c r="V31" s="116">
        <f t="shared" si="12"/>
        <v>42.433986641972126</v>
      </c>
      <c r="W31" s="116">
        <f>SUM(G31:V31)</f>
        <v>199.4856489105043</v>
      </c>
      <c r="X31" s="117">
        <v>8118200</v>
      </c>
      <c r="Y31" s="118"/>
    </row>
    <row r="32" spans="1:25" s="75" customFormat="1" ht="12" x14ac:dyDescent="0.15">
      <c r="A32" s="141"/>
      <c r="B32" s="142"/>
      <c r="C32" s="142" t="s">
        <v>95</v>
      </c>
      <c r="D32" s="142"/>
      <c r="E32" s="142"/>
      <c r="F32" s="142"/>
      <c r="G32" s="119">
        <v>54.505244688295271</v>
      </c>
      <c r="H32" s="119">
        <v>2.7470208151286544</v>
      </c>
      <c r="I32" s="119">
        <v>0</v>
      </c>
      <c r="J32" s="119">
        <v>2.8721326542335234E-2</v>
      </c>
      <c r="K32" s="119">
        <v>0</v>
      </c>
      <c r="L32" s="119">
        <v>4.0895252451756875E-2</v>
      </c>
      <c r="M32" s="119">
        <v>0</v>
      </c>
      <c r="N32" s="119">
        <v>0</v>
      </c>
      <c r="O32" s="119">
        <v>0</v>
      </c>
      <c r="P32" s="119">
        <v>0.21660667100677822</v>
      </c>
      <c r="Q32" s="119">
        <v>2.7524604603071264E-2</v>
      </c>
      <c r="R32" s="119">
        <v>0</v>
      </c>
      <c r="S32" s="119">
        <v>0</v>
      </c>
      <c r="T32" s="119">
        <v>0</v>
      </c>
      <c r="U32" s="119">
        <v>0</v>
      </c>
      <c r="V32" s="119">
        <v>42.433986641972126</v>
      </c>
      <c r="W32" s="120">
        <f>SUM(G32:V32)</f>
        <v>100</v>
      </c>
      <c r="X32" s="121">
        <f>SUM(X31-W34)</f>
        <v>-10088652</v>
      </c>
      <c r="Y32" s="122"/>
    </row>
    <row r="33" spans="1:26" s="36" customFormat="1" ht="12" x14ac:dyDescent="0.15">
      <c r="A33" s="34"/>
      <c r="B33" s="35"/>
      <c r="C33" s="35" t="s">
        <v>105</v>
      </c>
      <c r="D33" s="35"/>
      <c r="E33" s="35"/>
      <c r="F33" s="35"/>
      <c r="G33" s="123">
        <f>SUM(G35:G36)</f>
        <v>4632433.4040000001</v>
      </c>
      <c r="H33" s="123">
        <f t="shared" ref="H33:W33" si="13">SUM(H35:H36)</f>
        <v>131732.36860000002</v>
      </c>
      <c r="I33" s="123">
        <f t="shared" si="13"/>
        <v>0</v>
      </c>
      <c r="J33" s="123">
        <f t="shared" si="13"/>
        <v>1877.7534000000001</v>
      </c>
      <c r="K33" s="123">
        <f t="shared" si="13"/>
        <v>16610.150000000001</v>
      </c>
      <c r="L33" s="123">
        <f t="shared" si="13"/>
        <v>40806.144</v>
      </c>
      <c r="M33" s="123">
        <f t="shared" si="13"/>
        <v>26505.286</v>
      </c>
      <c r="N33" s="123">
        <f t="shared" si="13"/>
        <v>0</v>
      </c>
      <c r="O33" s="123">
        <f t="shared" si="13"/>
        <v>0</v>
      </c>
      <c r="P33" s="123">
        <f t="shared" si="13"/>
        <v>34233.038</v>
      </c>
      <c r="Q33" s="123">
        <f t="shared" si="13"/>
        <v>41889.836000000003</v>
      </c>
      <c r="R33" s="123">
        <f t="shared" si="13"/>
        <v>0</v>
      </c>
      <c r="S33" s="123">
        <f t="shared" si="13"/>
        <v>0</v>
      </c>
      <c r="T33" s="123">
        <f t="shared" si="13"/>
        <v>0</v>
      </c>
      <c r="U33" s="123">
        <f t="shared" si="13"/>
        <v>0</v>
      </c>
      <c r="V33" s="123">
        <f t="shared" si="13"/>
        <v>563326.02</v>
      </c>
      <c r="W33" s="123">
        <f t="shared" si="13"/>
        <v>5489414</v>
      </c>
      <c r="X33" s="124"/>
      <c r="Y33" s="125"/>
    </row>
    <row r="34" spans="1:26" s="12" customFormat="1" ht="12" x14ac:dyDescent="0.15">
      <c r="A34" s="186" t="s">
        <v>31</v>
      </c>
      <c r="B34" s="187"/>
      <c r="C34" s="187"/>
      <c r="D34" s="187"/>
      <c r="E34" s="187"/>
      <c r="F34" s="187"/>
      <c r="G34" s="39">
        <f t="shared" ref="G34:X34" si="14">G35+G36+G40+G41+G42+G48+G49+G53+G59+G62+G63+G69+G70+G74+G75+G78+G79+G81+G77+G58</f>
        <v>6848278.0944933984</v>
      </c>
      <c r="H34" s="39">
        <f t="shared" si="14"/>
        <v>281207.4813447292</v>
      </c>
      <c r="I34" s="39">
        <f t="shared" si="14"/>
        <v>0</v>
      </c>
      <c r="J34" s="39">
        <f t="shared" si="14"/>
        <v>3599.5364001199246</v>
      </c>
      <c r="K34" s="39">
        <f>K35+K36+K40+K41+K42+K48+K49+K53+K59+K62+K63+K69+K70+K74+K75+K78+K79+K81+K77+K58+K80</f>
        <v>9119263.0568709709</v>
      </c>
      <c r="L34" s="39">
        <f t="shared" si="14"/>
        <v>59351.161989084219</v>
      </c>
      <c r="M34" s="39">
        <f t="shared" si="14"/>
        <v>37388.305558067208</v>
      </c>
      <c r="N34" s="39">
        <f t="shared" si="14"/>
        <v>64498</v>
      </c>
      <c r="O34" s="39">
        <f t="shared" si="14"/>
        <v>0</v>
      </c>
      <c r="P34" s="39">
        <f t="shared" si="14"/>
        <v>49232.62331644402</v>
      </c>
      <c r="Q34" s="39">
        <f t="shared" si="14"/>
        <v>64809.369576838122</v>
      </c>
      <c r="R34" s="39">
        <f t="shared" si="14"/>
        <v>0</v>
      </c>
      <c r="S34" s="39">
        <f t="shared" si="14"/>
        <v>140</v>
      </c>
      <c r="T34" s="39">
        <f t="shared" si="14"/>
        <v>82</v>
      </c>
      <c r="U34" s="39">
        <f t="shared" si="14"/>
        <v>3998</v>
      </c>
      <c r="V34" s="39">
        <f>V35+V36+V40+V41+V42+V48+V49+V53+V59+V62+V63+V69+V70+V74+V75+V78+V79+V81+V77+V58</f>
        <v>1675004.3704503477</v>
      </c>
      <c r="W34" s="39">
        <f>W35+W36+W40+W41+W42+W48+W49+W53+W59+W62+W63+W69+W70+W74+W75+W78+W79+W81+W77+W58+W80</f>
        <v>18206852</v>
      </c>
      <c r="X34" s="39">
        <f t="shared" si="14"/>
        <v>8254163</v>
      </c>
      <c r="Y34" s="126">
        <f t="shared" si="2"/>
        <v>26461015</v>
      </c>
    </row>
    <row r="35" spans="1:26" s="20" customFormat="1" ht="12" x14ac:dyDescent="0.15">
      <c r="A35" s="194" t="s">
        <v>47</v>
      </c>
      <c r="B35" s="195"/>
      <c r="C35" s="195"/>
      <c r="D35" s="195"/>
      <c r="E35" s="195"/>
      <c r="F35" s="195"/>
      <c r="G35" s="71">
        <f>3322030*G28/100</f>
        <v>2571251.2200000002</v>
      </c>
      <c r="H35" s="71">
        <f t="shared" ref="H35:V35" si="15">3322030*H28/100</f>
        <v>114610.035</v>
      </c>
      <c r="I35" s="71">
        <f t="shared" si="15"/>
        <v>0</v>
      </c>
      <c r="J35" s="71">
        <f t="shared" si="15"/>
        <v>1661.0150000000001</v>
      </c>
      <c r="K35" s="71">
        <f t="shared" si="15"/>
        <v>16610.150000000001</v>
      </c>
      <c r="L35" s="71">
        <f t="shared" si="15"/>
        <v>33220.300000000003</v>
      </c>
      <c r="M35" s="71">
        <f t="shared" si="15"/>
        <v>23254.21</v>
      </c>
      <c r="N35" s="71">
        <f t="shared" si="15"/>
        <v>0</v>
      </c>
      <c r="O35" s="71">
        <f t="shared" si="15"/>
        <v>0</v>
      </c>
      <c r="P35" s="71">
        <f t="shared" si="15"/>
        <v>29898.27</v>
      </c>
      <c r="Q35" s="71">
        <f t="shared" si="15"/>
        <v>33220.300000000003</v>
      </c>
      <c r="R35" s="71">
        <f t="shared" si="15"/>
        <v>0</v>
      </c>
      <c r="S35" s="71">
        <f t="shared" si="15"/>
        <v>0</v>
      </c>
      <c r="T35" s="71">
        <f t="shared" si="15"/>
        <v>0</v>
      </c>
      <c r="U35" s="71">
        <f t="shared" si="15"/>
        <v>0</v>
      </c>
      <c r="V35" s="71">
        <f t="shared" si="15"/>
        <v>498304.5</v>
      </c>
      <c r="W35" s="127">
        <f t="shared" ref="W35:W81" si="16">SUM(G35:V35)</f>
        <v>3322030</v>
      </c>
      <c r="X35" s="71">
        <v>3322030</v>
      </c>
      <c r="Y35" s="128">
        <f>SUM(W35:X35)</f>
        <v>6644060</v>
      </c>
    </row>
    <row r="36" spans="1:26" s="20" customFormat="1" ht="12" x14ac:dyDescent="0.15">
      <c r="A36" s="190" t="s">
        <v>48</v>
      </c>
      <c r="B36" s="191"/>
      <c r="C36" s="191"/>
      <c r="D36" s="191"/>
      <c r="E36" s="191"/>
      <c r="F36" s="191"/>
      <c r="G36" s="71">
        <f>SUM(G37:G39)</f>
        <v>2061182.1839999999</v>
      </c>
      <c r="H36" s="71">
        <f t="shared" ref="H36:X36" si="17">SUM(H37:H39)</f>
        <v>17122.333600000002</v>
      </c>
      <c r="I36" s="71">
        <f t="shared" si="17"/>
        <v>0</v>
      </c>
      <c r="J36" s="71">
        <f t="shared" si="17"/>
        <v>216.73840000000001</v>
      </c>
      <c r="K36" s="71">
        <f t="shared" si="17"/>
        <v>0</v>
      </c>
      <c r="L36" s="71">
        <f t="shared" si="17"/>
        <v>7585.8440000000001</v>
      </c>
      <c r="M36" s="71">
        <f t="shared" si="17"/>
        <v>3251.076</v>
      </c>
      <c r="N36" s="71">
        <f t="shared" si="17"/>
        <v>0</v>
      </c>
      <c r="O36" s="71">
        <f t="shared" si="17"/>
        <v>0</v>
      </c>
      <c r="P36" s="71">
        <f t="shared" si="17"/>
        <v>4334.768</v>
      </c>
      <c r="Q36" s="71">
        <f t="shared" si="17"/>
        <v>8669.5360000000001</v>
      </c>
      <c r="R36" s="71">
        <f t="shared" si="17"/>
        <v>0</v>
      </c>
      <c r="S36" s="71">
        <f t="shared" si="17"/>
        <v>0</v>
      </c>
      <c r="T36" s="71">
        <f t="shared" si="17"/>
        <v>0</v>
      </c>
      <c r="U36" s="71">
        <f t="shared" si="17"/>
        <v>0</v>
      </c>
      <c r="V36" s="71">
        <f t="shared" si="17"/>
        <v>65021.52</v>
      </c>
      <c r="W36" s="127">
        <f t="shared" si="16"/>
        <v>2167383.9999999995</v>
      </c>
      <c r="X36" s="71">
        <f t="shared" si="17"/>
        <v>2167384</v>
      </c>
      <c r="Y36" s="128">
        <f t="shared" si="2"/>
        <v>4334768</v>
      </c>
    </row>
    <row r="37" spans="1:26" s="12" customFormat="1" ht="12" x14ac:dyDescent="0.15">
      <c r="A37" s="196" t="s">
        <v>101</v>
      </c>
      <c r="B37" s="197"/>
      <c r="C37" s="197"/>
      <c r="D37" s="197"/>
      <c r="E37" s="197"/>
      <c r="F37" s="197"/>
      <c r="G37" s="39">
        <f>2155200*G29/100</f>
        <v>2049595.2</v>
      </c>
      <c r="H37" s="39">
        <f t="shared" ref="H37:V37" si="18">2155200*H29/100</f>
        <v>17026.080000000002</v>
      </c>
      <c r="I37" s="39">
        <f t="shared" si="18"/>
        <v>0</v>
      </c>
      <c r="J37" s="39">
        <f t="shared" si="18"/>
        <v>215.52</v>
      </c>
      <c r="K37" s="39">
        <f t="shared" si="18"/>
        <v>0</v>
      </c>
      <c r="L37" s="39">
        <f t="shared" si="18"/>
        <v>7543.2</v>
      </c>
      <c r="M37" s="39">
        <f t="shared" si="18"/>
        <v>3232.8</v>
      </c>
      <c r="N37" s="39">
        <f t="shared" si="18"/>
        <v>0</v>
      </c>
      <c r="O37" s="39">
        <f t="shared" si="18"/>
        <v>0</v>
      </c>
      <c r="P37" s="39">
        <f t="shared" si="18"/>
        <v>4310.3999999999996</v>
      </c>
      <c r="Q37" s="39">
        <f t="shared" si="18"/>
        <v>8620.7999999999993</v>
      </c>
      <c r="R37" s="39">
        <f t="shared" si="18"/>
        <v>0</v>
      </c>
      <c r="S37" s="39">
        <f t="shared" si="18"/>
        <v>0</v>
      </c>
      <c r="T37" s="39">
        <f t="shared" si="18"/>
        <v>0</v>
      </c>
      <c r="U37" s="39">
        <f t="shared" si="18"/>
        <v>0</v>
      </c>
      <c r="V37" s="39">
        <f t="shared" si="18"/>
        <v>64656</v>
      </c>
      <c r="W37" s="87">
        <f t="shared" si="16"/>
        <v>2155200</v>
      </c>
      <c r="X37" s="39">
        <v>2155200</v>
      </c>
      <c r="Y37" s="126">
        <f t="shared" si="2"/>
        <v>4310400</v>
      </c>
    </row>
    <row r="38" spans="1:26" s="12" customFormat="1" ht="12" x14ac:dyDescent="0.15">
      <c r="A38" s="132" t="s">
        <v>100</v>
      </c>
      <c r="B38" s="133"/>
      <c r="C38" s="133"/>
      <c r="D38" s="133"/>
      <c r="E38" s="133"/>
      <c r="F38" s="13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87">
        <f t="shared" si="16"/>
        <v>0</v>
      </c>
      <c r="X38" s="39">
        <v>0</v>
      </c>
      <c r="Y38" s="126">
        <f t="shared" si="2"/>
        <v>0</v>
      </c>
    </row>
    <row r="39" spans="1:26" s="12" customFormat="1" ht="12" x14ac:dyDescent="0.15">
      <c r="A39" s="132" t="s">
        <v>99</v>
      </c>
      <c r="B39" s="133"/>
      <c r="C39" s="133"/>
      <c r="D39" s="133"/>
      <c r="E39" s="133"/>
      <c r="F39" s="133"/>
      <c r="G39" s="39">
        <f>12184*G29/100</f>
        <v>11586.983999999999</v>
      </c>
      <c r="H39" s="39">
        <f t="shared" ref="H39:V39" si="19">12184*H29/100</f>
        <v>96.253600000000006</v>
      </c>
      <c r="I39" s="39">
        <f t="shared" si="19"/>
        <v>0</v>
      </c>
      <c r="J39" s="39">
        <f t="shared" si="19"/>
        <v>1.2183999999999999</v>
      </c>
      <c r="K39" s="39">
        <f t="shared" si="19"/>
        <v>0</v>
      </c>
      <c r="L39" s="39">
        <f t="shared" si="19"/>
        <v>42.643999999999998</v>
      </c>
      <c r="M39" s="39">
        <f t="shared" si="19"/>
        <v>18.276</v>
      </c>
      <c r="N39" s="39">
        <f t="shared" si="19"/>
        <v>0</v>
      </c>
      <c r="O39" s="39">
        <f t="shared" si="19"/>
        <v>0</v>
      </c>
      <c r="P39" s="39">
        <f t="shared" si="19"/>
        <v>24.368000000000002</v>
      </c>
      <c r="Q39" s="39">
        <f t="shared" si="19"/>
        <v>48.736000000000004</v>
      </c>
      <c r="R39" s="39">
        <f t="shared" si="19"/>
        <v>0</v>
      </c>
      <c r="S39" s="39">
        <f t="shared" si="19"/>
        <v>0</v>
      </c>
      <c r="T39" s="39">
        <f t="shared" si="19"/>
        <v>0</v>
      </c>
      <c r="U39" s="39">
        <f t="shared" si="19"/>
        <v>0</v>
      </c>
      <c r="V39" s="39">
        <f t="shared" si="19"/>
        <v>365.52</v>
      </c>
      <c r="W39" s="87">
        <f t="shared" si="16"/>
        <v>12184</v>
      </c>
      <c r="X39" s="39">
        <v>12184</v>
      </c>
      <c r="Y39" s="126">
        <f t="shared" si="2"/>
        <v>24368</v>
      </c>
    </row>
    <row r="40" spans="1:26" s="20" customFormat="1" ht="12" x14ac:dyDescent="0.15">
      <c r="A40" s="198" t="s">
        <v>102</v>
      </c>
      <c r="B40" s="199"/>
      <c r="C40" s="199"/>
      <c r="D40" s="199"/>
      <c r="E40" s="199"/>
      <c r="F40" s="199"/>
      <c r="G40" s="71">
        <f t="shared" ref="G40:V40" si="20">0*G28/100</f>
        <v>0</v>
      </c>
      <c r="H40" s="71">
        <f t="shared" si="20"/>
        <v>0</v>
      </c>
      <c r="I40" s="71">
        <f t="shared" si="20"/>
        <v>0</v>
      </c>
      <c r="J40" s="71">
        <f t="shared" si="20"/>
        <v>0</v>
      </c>
      <c r="K40" s="71">
        <f t="shared" si="20"/>
        <v>0</v>
      </c>
      <c r="L40" s="71">
        <f t="shared" si="20"/>
        <v>0</v>
      </c>
      <c r="M40" s="71">
        <f t="shared" si="20"/>
        <v>0</v>
      </c>
      <c r="N40" s="71">
        <f t="shared" si="20"/>
        <v>0</v>
      </c>
      <c r="O40" s="71">
        <f t="shared" si="20"/>
        <v>0</v>
      </c>
      <c r="P40" s="71">
        <f t="shared" si="20"/>
        <v>0</v>
      </c>
      <c r="Q40" s="71">
        <f t="shared" si="20"/>
        <v>0</v>
      </c>
      <c r="R40" s="71">
        <f t="shared" si="20"/>
        <v>0</v>
      </c>
      <c r="S40" s="71">
        <f t="shared" si="20"/>
        <v>0</v>
      </c>
      <c r="T40" s="71">
        <f t="shared" si="20"/>
        <v>0</v>
      </c>
      <c r="U40" s="71">
        <f t="shared" si="20"/>
        <v>0</v>
      </c>
      <c r="V40" s="71">
        <f t="shared" si="20"/>
        <v>0</v>
      </c>
      <c r="W40" s="127">
        <f t="shared" si="16"/>
        <v>0</v>
      </c>
      <c r="X40" s="71"/>
      <c r="Y40" s="128">
        <f t="shared" si="2"/>
        <v>0</v>
      </c>
    </row>
    <row r="41" spans="1:26" s="20" customFormat="1" ht="11.25" customHeight="1" x14ac:dyDescent="0.15">
      <c r="A41" s="190" t="s">
        <v>145</v>
      </c>
      <c r="B41" s="191"/>
      <c r="C41" s="191"/>
      <c r="D41" s="191"/>
      <c r="E41" s="191"/>
      <c r="F41" s="19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>
        <v>92000</v>
      </c>
      <c r="W41" s="127">
        <f t="shared" si="16"/>
        <v>92000</v>
      </c>
      <c r="X41" s="71">
        <v>92000</v>
      </c>
      <c r="Y41" s="128">
        <f t="shared" si="2"/>
        <v>184000</v>
      </c>
    </row>
    <row r="42" spans="1:26" s="20" customFormat="1" ht="11.25" customHeight="1" x14ac:dyDescent="0.15">
      <c r="A42" s="190" t="s">
        <v>49</v>
      </c>
      <c r="B42" s="191"/>
      <c r="C42" s="191"/>
      <c r="D42" s="191"/>
      <c r="E42" s="191"/>
      <c r="F42" s="191"/>
      <c r="G42" s="71">
        <f>SUM(G43:G47)</f>
        <v>779835.69348262076</v>
      </c>
      <c r="H42" s="71">
        <f t="shared" ref="H42:X42" si="21">SUM(H43:H47)</f>
        <v>22176.164029165448</v>
      </c>
      <c r="I42" s="71">
        <f t="shared" si="21"/>
        <v>0</v>
      </c>
      <c r="J42" s="71">
        <f t="shared" si="21"/>
        <v>316.10581246865337</v>
      </c>
      <c r="K42" s="71">
        <f t="shared" si="21"/>
        <v>2796.1951558581673</v>
      </c>
      <c r="L42" s="71">
        <f t="shared" si="21"/>
        <v>6869.4107026156162</v>
      </c>
      <c r="M42" s="71">
        <f t="shared" si="21"/>
        <v>4461.9676714439838</v>
      </c>
      <c r="N42" s="71">
        <f t="shared" si="21"/>
        <v>0</v>
      </c>
      <c r="O42" s="71">
        <f t="shared" si="21"/>
        <v>0</v>
      </c>
      <c r="P42" s="71">
        <f t="shared" si="21"/>
        <v>5762.8772182014318</v>
      </c>
      <c r="Q42" s="71">
        <f t="shared" si="21"/>
        <v>7051.8421870297989</v>
      </c>
      <c r="R42" s="71">
        <f t="shared" si="21"/>
        <v>0</v>
      </c>
      <c r="S42" s="71">
        <f t="shared" si="21"/>
        <v>0</v>
      </c>
      <c r="T42" s="71">
        <f t="shared" si="21"/>
        <v>0</v>
      </c>
      <c r="U42" s="71">
        <f t="shared" si="21"/>
        <v>0</v>
      </c>
      <c r="V42" s="71">
        <f t="shared" si="21"/>
        <v>256031.74374059599</v>
      </c>
      <c r="W42" s="127">
        <f t="shared" si="16"/>
        <v>1085301.9999999998</v>
      </c>
      <c r="X42" s="71">
        <f t="shared" si="21"/>
        <v>1085302</v>
      </c>
      <c r="Y42" s="128">
        <f t="shared" si="2"/>
        <v>2170604</v>
      </c>
    </row>
    <row r="43" spans="1:26" s="12" customFormat="1" ht="11.25" customHeight="1" x14ac:dyDescent="0.15">
      <c r="A43" s="188" t="s">
        <v>50</v>
      </c>
      <c r="B43" s="189"/>
      <c r="C43" s="189"/>
      <c r="D43" s="189"/>
      <c r="E43" s="189"/>
      <c r="F43" s="189"/>
      <c r="G43" s="39">
        <f>854470*G30/100</f>
        <v>721074.30241477129</v>
      </c>
      <c r="H43" s="39">
        <f t="shared" ref="H43:V43" si="22">854470*H30/100</f>
        <v>20505.168128627574</v>
      </c>
      <c r="I43" s="39">
        <f t="shared" si="22"/>
        <v>0</v>
      </c>
      <c r="J43" s="39">
        <f t="shared" si="22"/>
        <v>292.28692674627933</v>
      </c>
      <c r="K43" s="39">
        <f t="shared" si="22"/>
        <v>2585.4990843284918</v>
      </c>
      <c r="L43" s="39">
        <f t="shared" si="22"/>
        <v>6351.7938096270382</v>
      </c>
      <c r="M43" s="39">
        <f t="shared" si="22"/>
        <v>4125.7539927613407</v>
      </c>
      <c r="N43" s="39">
        <f t="shared" si="22"/>
        <v>0</v>
      </c>
      <c r="O43" s="39">
        <f t="shared" si="22"/>
        <v>0</v>
      </c>
      <c r="P43" s="39">
        <f t="shared" si="22"/>
        <v>5328.6387180598867</v>
      </c>
      <c r="Q43" s="39">
        <f t="shared" si="22"/>
        <v>6520.4789011941893</v>
      </c>
      <c r="R43" s="39">
        <f t="shared" si="22"/>
        <v>0</v>
      </c>
      <c r="S43" s="39">
        <f t="shared" si="22"/>
        <v>0</v>
      </c>
      <c r="T43" s="39">
        <f t="shared" si="22"/>
        <v>0</v>
      </c>
      <c r="U43" s="39">
        <f t="shared" si="22"/>
        <v>0</v>
      </c>
      <c r="V43" s="39">
        <f t="shared" si="22"/>
        <v>87686.078023883776</v>
      </c>
      <c r="W43" s="87">
        <f t="shared" si="16"/>
        <v>854469.99999999988</v>
      </c>
      <c r="X43" s="39">
        <v>854470</v>
      </c>
      <c r="Y43" s="126">
        <f t="shared" si="2"/>
        <v>1708940</v>
      </c>
    </row>
    <row r="44" spans="1:26" s="12" customFormat="1" ht="11.25" customHeight="1" x14ac:dyDescent="0.15">
      <c r="A44" s="188" t="s">
        <v>51</v>
      </c>
      <c r="B44" s="189"/>
      <c r="C44" s="189"/>
      <c r="D44" s="189"/>
      <c r="E44" s="189"/>
      <c r="F44" s="189"/>
      <c r="G44" s="39">
        <f>18962*G30/100</f>
        <v>16001.744850479119</v>
      </c>
      <c r="H44" s="39">
        <f t="shared" ref="H44:V44" si="23">18962*H30/100</f>
        <v>455.04113433477607</v>
      </c>
      <c r="I44" s="39">
        <f t="shared" si="23"/>
        <v>0</v>
      </c>
      <c r="J44" s="39">
        <f t="shared" si="23"/>
        <v>6.4862952531545268</v>
      </c>
      <c r="K44" s="39">
        <f t="shared" si="23"/>
        <v>57.37619066443159</v>
      </c>
      <c r="L44" s="39">
        <f t="shared" si="23"/>
        <v>140.95604786376106</v>
      </c>
      <c r="M44" s="39">
        <f t="shared" si="23"/>
        <v>91.556809730874733</v>
      </c>
      <c r="N44" s="39">
        <f t="shared" si="23"/>
        <v>0</v>
      </c>
      <c r="O44" s="39">
        <f t="shared" si="23"/>
        <v>0</v>
      </c>
      <c r="P44" s="39">
        <f t="shared" si="23"/>
        <v>118.2506669302042</v>
      </c>
      <c r="Q44" s="39">
        <f t="shared" si="23"/>
        <v>144.69942879731789</v>
      </c>
      <c r="R44" s="39">
        <f t="shared" si="23"/>
        <v>0</v>
      </c>
      <c r="S44" s="39">
        <f t="shared" si="23"/>
        <v>0</v>
      </c>
      <c r="T44" s="39">
        <f t="shared" si="23"/>
        <v>0</v>
      </c>
      <c r="U44" s="39">
        <f t="shared" si="23"/>
        <v>0</v>
      </c>
      <c r="V44" s="39">
        <f t="shared" si="23"/>
        <v>1945.8885759463578</v>
      </c>
      <c r="W44" s="87">
        <f t="shared" si="16"/>
        <v>18962</v>
      </c>
      <c r="X44" s="39">
        <v>18962</v>
      </c>
      <c r="Y44" s="126">
        <f t="shared" si="2"/>
        <v>37924</v>
      </c>
    </row>
    <row r="45" spans="1:26" s="12" customFormat="1" ht="11.25" customHeight="1" x14ac:dyDescent="0.15">
      <c r="A45" s="188" t="s">
        <v>52</v>
      </c>
      <c r="B45" s="189"/>
      <c r="C45" s="189"/>
      <c r="D45" s="189"/>
      <c r="E45" s="189"/>
      <c r="F45" s="189"/>
      <c r="G45" s="39">
        <f>18520*G30/100</f>
        <v>15628.747739208593</v>
      </c>
      <c r="H45" s="39">
        <f t="shared" ref="H45:V45" si="24">18520*H30/100</f>
        <v>444.43422676300247</v>
      </c>
      <c r="I45" s="39">
        <f t="shared" si="24"/>
        <v>0</v>
      </c>
      <c r="J45" s="39">
        <f t="shared" si="24"/>
        <v>6.3351011543308644</v>
      </c>
      <c r="K45" s="39">
        <f t="shared" si="24"/>
        <v>56.038764429135796</v>
      </c>
      <c r="L45" s="39">
        <f t="shared" si="24"/>
        <v>137.67039375787652</v>
      </c>
      <c r="M45" s="39">
        <f t="shared" si="24"/>
        <v>89.422640872049357</v>
      </c>
      <c r="N45" s="39">
        <f t="shared" si="24"/>
        <v>0</v>
      </c>
      <c r="O45" s="39">
        <f t="shared" si="24"/>
        <v>0</v>
      </c>
      <c r="P45" s="39">
        <f t="shared" si="24"/>
        <v>115.49427020079011</v>
      </c>
      <c r="Q45" s="39">
        <f t="shared" si="24"/>
        <v>141.32651731496296</v>
      </c>
      <c r="R45" s="39">
        <f t="shared" si="24"/>
        <v>0</v>
      </c>
      <c r="S45" s="39">
        <f t="shared" si="24"/>
        <v>0</v>
      </c>
      <c r="T45" s="39">
        <f t="shared" si="24"/>
        <v>0</v>
      </c>
      <c r="U45" s="39">
        <f t="shared" si="24"/>
        <v>0</v>
      </c>
      <c r="V45" s="39">
        <f t="shared" si="24"/>
        <v>1900.5303462992588</v>
      </c>
      <c r="W45" s="87">
        <f t="shared" si="16"/>
        <v>18520</v>
      </c>
      <c r="X45" s="39">
        <v>18520</v>
      </c>
      <c r="Y45" s="126">
        <f t="shared" si="2"/>
        <v>37040</v>
      </c>
    </row>
    <row r="46" spans="1:26" s="12" customFormat="1" ht="11.25" customHeight="1" x14ac:dyDescent="0.15">
      <c r="A46" s="188" t="s">
        <v>53</v>
      </c>
      <c r="B46" s="189"/>
      <c r="C46" s="189"/>
      <c r="D46" s="189"/>
      <c r="E46" s="189"/>
      <c r="F46" s="189"/>
      <c r="G46" s="39">
        <f>32150*G30/100</f>
        <v>27130.89847816178</v>
      </c>
      <c r="H46" s="39">
        <f t="shared" ref="H46:V46" si="25">32150*H30/100</f>
        <v>771.52053944009344</v>
      </c>
      <c r="I46" s="39">
        <f t="shared" si="25"/>
        <v>0</v>
      </c>
      <c r="J46" s="39">
        <f t="shared" si="25"/>
        <v>10.997489314888622</v>
      </c>
      <c r="K46" s="39">
        <f t="shared" si="25"/>
        <v>97.281116436107766</v>
      </c>
      <c r="L46" s="39">
        <f t="shared" si="25"/>
        <v>238.99045136694011</v>
      </c>
      <c r="M46" s="39">
        <f t="shared" si="25"/>
        <v>155.23422807971852</v>
      </c>
      <c r="N46" s="39">
        <f t="shared" si="25"/>
        <v>0</v>
      </c>
      <c r="O46" s="39">
        <f t="shared" si="25"/>
        <v>0</v>
      </c>
      <c r="P46" s="39">
        <f t="shared" si="25"/>
        <v>200.49356301055087</v>
      </c>
      <c r="Q46" s="39">
        <f t="shared" si="25"/>
        <v>245.33733972332931</v>
      </c>
      <c r="R46" s="39">
        <f t="shared" si="25"/>
        <v>0</v>
      </c>
      <c r="S46" s="39">
        <f t="shared" si="25"/>
        <v>0</v>
      </c>
      <c r="T46" s="39">
        <f t="shared" si="25"/>
        <v>0</v>
      </c>
      <c r="U46" s="39">
        <f t="shared" si="25"/>
        <v>0</v>
      </c>
      <c r="V46" s="39">
        <f t="shared" si="25"/>
        <v>3299.2467944665859</v>
      </c>
      <c r="W46" s="87">
        <f t="shared" si="16"/>
        <v>32150</v>
      </c>
      <c r="X46" s="39">
        <v>32150</v>
      </c>
      <c r="Y46" s="126">
        <f t="shared" si="2"/>
        <v>64300</v>
      </c>
    </row>
    <row r="47" spans="1:26" s="12" customFormat="1" ht="11.25" customHeight="1" x14ac:dyDescent="0.15">
      <c r="A47" s="186" t="s">
        <v>54</v>
      </c>
      <c r="B47" s="187"/>
      <c r="C47" s="187"/>
      <c r="D47" s="187"/>
      <c r="E47" s="187"/>
      <c r="F47" s="187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>
        <v>161200</v>
      </c>
      <c r="W47" s="87">
        <f t="shared" si="16"/>
        <v>161200</v>
      </c>
      <c r="X47" s="39">
        <v>161200</v>
      </c>
      <c r="Y47" s="126">
        <f t="shared" si="2"/>
        <v>322400</v>
      </c>
      <c r="Z47" s="21"/>
    </row>
    <row r="48" spans="1:26" s="20" customFormat="1" ht="11.25" customHeight="1" x14ac:dyDescent="0.15">
      <c r="A48" s="190" t="s">
        <v>32</v>
      </c>
      <c r="B48" s="191"/>
      <c r="C48" s="191"/>
      <c r="D48" s="191"/>
      <c r="E48" s="191"/>
      <c r="F48" s="191"/>
      <c r="G48" s="71">
        <v>24000</v>
      </c>
      <c r="H48" s="71">
        <v>0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>
        <v>151920</v>
      </c>
      <c r="W48" s="127">
        <f t="shared" si="16"/>
        <v>175920</v>
      </c>
      <c r="X48" s="71">
        <v>151920</v>
      </c>
      <c r="Y48" s="128">
        <f t="shared" si="2"/>
        <v>327840</v>
      </c>
      <c r="Z48" s="19"/>
    </row>
    <row r="49" spans="1:27" s="20" customFormat="1" ht="11.25" customHeight="1" x14ac:dyDescent="0.15">
      <c r="A49" s="190" t="s">
        <v>33</v>
      </c>
      <c r="B49" s="191"/>
      <c r="C49" s="191"/>
      <c r="D49" s="191"/>
      <c r="E49" s="191"/>
      <c r="F49" s="191"/>
      <c r="G49" s="71">
        <f>SUM(G50:G52)</f>
        <v>277131.37479478866</v>
      </c>
      <c r="H49" s="71">
        <f t="shared" ref="H49:X49" si="26">SUM(H50:H52)</f>
        <v>18789.91630767583</v>
      </c>
      <c r="I49" s="71">
        <f t="shared" si="26"/>
        <v>0</v>
      </c>
      <c r="J49" s="71">
        <f t="shared" si="26"/>
        <v>89.088215153019988</v>
      </c>
      <c r="K49" s="71">
        <f t="shared" si="26"/>
        <v>9398.0526894127506</v>
      </c>
      <c r="L49" s="71">
        <f t="shared" si="26"/>
        <v>1936.0084962365747</v>
      </c>
      <c r="M49" s="71">
        <f t="shared" si="26"/>
        <v>1257.5179583540248</v>
      </c>
      <c r="N49" s="71">
        <f t="shared" si="26"/>
        <v>57560</v>
      </c>
      <c r="O49" s="71">
        <f t="shared" si="26"/>
        <v>0</v>
      </c>
      <c r="P49" s="71">
        <f t="shared" si="26"/>
        <v>1624.1537651778497</v>
      </c>
      <c r="Q49" s="71">
        <f t="shared" si="26"/>
        <v>1987.4232272953</v>
      </c>
      <c r="R49" s="71">
        <f t="shared" si="26"/>
        <v>0</v>
      </c>
      <c r="S49" s="71">
        <f t="shared" si="26"/>
        <v>0</v>
      </c>
      <c r="T49" s="71">
        <f t="shared" si="26"/>
        <v>0</v>
      </c>
      <c r="U49" s="71">
        <f t="shared" si="26"/>
        <v>1250</v>
      </c>
      <c r="V49" s="71">
        <f t="shared" si="26"/>
        <v>243166.464545906</v>
      </c>
      <c r="W49" s="127">
        <f t="shared" si="16"/>
        <v>614190</v>
      </c>
      <c r="X49" s="71">
        <f t="shared" si="26"/>
        <v>434420</v>
      </c>
      <c r="Y49" s="128">
        <f t="shared" si="2"/>
        <v>1048610</v>
      </c>
      <c r="Z49" s="19"/>
      <c r="AA49" s="19"/>
    </row>
    <row r="50" spans="1:27" s="12" customFormat="1" ht="11.25" customHeight="1" x14ac:dyDescent="0.15">
      <c r="A50" s="186" t="s">
        <v>34</v>
      </c>
      <c r="B50" s="187"/>
      <c r="C50" s="187"/>
      <c r="D50" s="187"/>
      <c r="E50" s="187"/>
      <c r="F50" s="187"/>
      <c r="G50" s="39">
        <v>57350</v>
      </c>
      <c r="H50" s="39">
        <v>12540</v>
      </c>
      <c r="I50" s="39"/>
      <c r="J50" s="39"/>
      <c r="K50" s="39">
        <v>8610</v>
      </c>
      <c r="L50" s="39"/>
      <c r="M50" s="39"/>
      <c r="N50" s="39">
        <v>57560</v>
      </c>
      <c r="O50" s="39"/>
      <c r="P50" s="39"/>
      <c r="Q50" s="39"/>
      <c r="R50" s="39"/>
      <c r="S50" s="39"/>
      <c r="T50" s="39"/>
      <c r="U50" s="39">
        <v>1250</v>
      </c>
      <c r="V50" s="39">
        <v>42460</v>
      </c>
      <c r="W50" s="87">
        <f t="shared" si="16"/>
        <v>179770</v>
      </c>
      <c r="X50" s="97"/>
      <c r="Y50" s="126">
        <f t="shared" si="2"/>
        <v>179770</v>
      </c>
    </row>
    <row r="51" spans="1:27" s="12" customFormat="1" ht="11.25" customHeight="1" x14ac:dyDescent="0.15">
      <c r="A51" s="188" t="s">
        <v>79</v>
      </c>
      <c r="B51" s="189"/>
      <c r="C51" s="189"/>
      <c r="D51" s="189"/>
      <c r="E51" s="189"/>
      <c r="F51" s="189"/>
      <c r="G51" s="39">
        <f>260440*G30/100</f>
        <v>219781.37479478866</v>
      </c>
      <c r="H51" s="39">
        <f t="shared" ref="H51:V51" si="27">260440*H30/100</f>
        <v>6249.9163076758296</v>
      </c>
      <c r="I51" s="39">
        <f t="shared" si="27"/>
        <v>0</v>
      </c>
      <c r="J51" s="39">
        <f t="shared" si="27"/>
        <v>89.088215153019988</v>
      </c>
      <c r="K51" s="39">
        <f t="shared" si="27"/>
        <v>788.05268941274971</v>
      </c>
      <c r="L51" s="39">
        <f t="shared" si="27"/>
        <v>1936.0084962365747</v>
      </c>
      <c r="M51" s="39">
        <f t="shared" si="27"/>
        <v>1257.5179583540248</v>
      </c>
      <c r="N51" s="39">
        <f t="shared" si="27"/>
        <v>0</v>
      </c>
      <c r="O51" s="39">
        <f t="shared" si="27"/>
        <v>0</v>
      </c>
      <c r="P51" s="39">
        <f t="shared" si="27"/>
        <v>1624.1537651778497</v>
      </c>
      <c r="Q51" s="39">
        <f t="shared" si="27"/>
        <v>1987.4232272953</v>
      </c>
      <c r="R51" s="39">
        <f t="shared" si="27"/>
        <v>0</v>
      </c>
      <c r="S51" s="39">
        <f t="shared" si="27"/>
        <v>0</v>
      </c>
      <c r="T51" s="39">
        <f t="shared" si="27"/>
        <v>0</v>
      </c>
      <c r="U51" s="39">
        <f t="shared" si="27"/>
        <v>0</v>
      </c>
      <c r="V51" s="39">
        <f t="shared" si="27"/>
        <v>26726.46454590599</v>
      </c>
      <c r="W51" s="87">
        <f t="shared" si="16"/>
        <v>260440.00000000003</v>
      </c>
      <c r="X51" s="39">
        <v>260440</v>
      </c>
      <c r="Y51" s="126">
        <f t="shared" si="2"/>
        <v>520880</v>
      </c>
    </row>
    <row r="52" spans="1:27" s="12" customFormat="1" ht="11.25" customHeight="1" x14ac:dyDescent="0.15">
      <c r="A52" s="186" t="s">
        <v>35</v>
      </c>
      <c r="B52" s="187"/>
      <c r="C52" s="187"/>
      <c r="D52" s="187"/>
      <c r="E52" s="187"/>
      <c r="F52" s="187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>
        <v>173980</v>
      </c>
      <c r="W52" s="87">
        <f t="shared" si="16"/>
        <v>173980</v>
      </c>
      <c r="X52" s="39">
        <v>173980</v>
      </c>
      <c r="Y52" s="126">
        <f t="shared" si="2"/>
        <v>347960</v>
      </c>
    </row>
    <row r="53" spans="1:27" s="20" customFormat="1" ht="11.25" customHeight="1" x14ac:dyDescent="0.15">
      <c r="A53" s="190" t="s">
        <v>36</v>
      </c>
      <c r="B53" s="191"/>
      <c r="C53" s="191"/>
      <c r="D53" s="191"/>
      <c r="E53" s="191"/>
      <c r="F53" s="191"/>
      <c r="G53" s="71">
        <f>SUM(G54:G57)</f>
        <v>134532.2457257444</v>
      </c>
      <c r="H53" s="71">
        <f t="shared" ref="H53:X53" si="28">SUM(H54:H57)</f>
        <v>23533.958991167758</v>
      </c>
      <c r="I53" s="71">
        <f t="shared" si="28"/>
        <v>0</v>
      </c>
      <c r="J53" s="71">
        <f t="shared" si="28"/>
        <v>974.65565044230846</v>
      </c>
      <c r="K53" s="71">
        <f t="shared" si="28"/>
        <v>7434</v>
      </c>
      <c r="L53" s="71">
        <f t="shared" si="28"/>
        <v>2308.9210568229687</v>
      </c>
      <c r="M53" s="71">
        <f t="shared" si="28"/>
        <v>337</v>
      </c>
      <c r="N53" s="71">
        <f t="shared" si="28"/>
        <v>6718</v>
      </c>
      <c r="O53" s="71">
        <f t="shared" si="28"/>
        <v>0</v>
      </c>
      <c r="P53" s="71">
        <f t="shared" si="28"/>
        <v>1378.8196970857427</v>
      </c>
      <c r="Q53" s="71">
        <f t="shared" si="28"/>
        <v>6252.2533316738791</v>
      </c>
      <c r="R53" s="71">
        <f t="shared" si="28"/>
        <v>0</v>
      </c>
      <c r="S53" s="71">
        <f t="shared" si="28"/>
        <v>140</v>
      </c>
      <c r="T53" s="71">
        <f t="shared" si="28"/>
        <v>82</v>
      </c>
      <c r="U53" s="71">
        <f t="shared" si="28"/>
        <v>2748</v>
      </c>
      <c r="V53" s="71">
        <f t="shared" si="28"/>
        <v>81376.145547062944</v>
      </c>
      <c r="W53" s="127">
        <f t="shared" si="16"/>
        <v>267816</v>
      </c>
      <c r="X53" s="71">
        <f t="shared" si="28"/>
        <v>118908</v>
      </c>
      <c r="Y53" s="128">
        <f t="shared" si="2"/>
        <v>386724</v>
      </c>
      <c r="Z53" s="19"/>
      <c r="AA53" s="19"/>
    </row>
    <row r="54" spans="1:27" s="12" customFormat="1" ht="11.25" customHeight="1" x14ac:dyDescent="0.15">
      <c r="A54" s="186" t="s">
        <v>37</v>
      </c>
      <c r="B54" s="187"/>
      <c r="C54" s="187"/>
      <c r="D54" s="187"/>
      <c r="E54" s="187"/>
      <c r="F54" s="187"/>
      <c r="G54" s="39">
        <v>8856</v>
      </c>
      <c r="H54" s="39">
        <v>1750</v>
      </c>
      <c r="I54" s="39"/>
      <c r="J54" s="39"/>
      <c r="K54" s="39">
        <v>4536</v>
      </c>
      <c r="L54" s="39">
        <v>1728</v>
      </c>
      <c r="M54" s="39">
        <v>173</v>
      </c>
      <c r="N54" s="39">
        <v>0</v>
      </c>
      <c r="O54" s="39"/>
      <c r="P54" s="39">
        <v>677</v>
      </c>
      <c r="Q54" s="39">
        <v>4334</v>
      </c>
      <c r="R54" s="39">
        <v>0</v>
      </c>
      <c r="S54" s="39"/>
      <c r="T54" s="39">
        <v>0</v>
      </c>
      <c r="U54" s="39"/>
      <c r="V54" s="39">
        <v>1728</v>
      </c>
      <c r="W54" s="87">
        <f t="shared" si="16"/>
        <v>23782</v>
      </c>
      <c r="X54" s="39">
        <v>1728</v>
      </c>
      <c r="Y54" s="126">
        <f t="shared" si="2"/>
        <v>25510</v>
      </c>
    </row>
    <row r="55" spans="1:27" s="12" customFormat="1" ht="11.25" customHeight="1" x14ac:dyDescent="0.15">
      <c r="A55" s="192" t="s">
        <v>106</v>
      </c>
      <c r="B55" s="193"/>
      <c r="C55" s="193"/>
      <c r="D55" s="193"/>
      <c r="E55" s="193"/>
      <c r="F55" s="193"/>
      <c r="G55" s="129">
        <f>117180*G32/100</f>
        <v>63869.245725744397</v>
      </c>
      <c r="H55" s="129">
        <f t="shared" ref="H55:V55" si="29">117180*H32/100</f>
        <v>3218.9589911677572</v>
      </c>
      <c r="I55" s="129">
        <f t="shared" si="29"/>
        <v>0</v>
      </c>
      <c r="J55" s="129">
        <f t="shared" si="29"/>
        <v>33.655650442308428</v>
      </c>
      <c r="K55" s="129">
        <f t="shared" si="29"/>
        <v>0</v>
      </c>
      <c r="L55" s="129">
        <f t="shared" si="29"/>
        <v>47.921056822968701</v>
      </c>
      <c r="M55" s="129">
        <f t="shared" si="29"/>
        <v>0</v>
      </c>
      <c r="N55" s="129">
        <f t="shared" si="29"/>
        <v>0</v>
      </c>
      <c r="O55" s="129">
        <f t="shared" si="29"/>
        <v>0</v>
      </c>
      <c r="P55" s="129">
        <f t="shared" si="29"/>
        <v>253.81969708574269</v>
      </c>
      <c r="Q55" s="129">
        <f t="shared" si="29"/>
        <v>32.253331673878904</v>
      </c>
      <c r="R55" s="129">
        <f t="shared" si="29"/>
        <v>0</v>
      </c>
      <c r="S55" s="129">
        <f t="shared" si="29"/>
        <v>0</v>
      </c>
      <c r="T55" s="129">
        <f t="shared" si="29"/>
        <v>0</v>
      </c>
      <c r="U55" s="129">
        <f t="shared" si="29"/>
        <v>0</v>
      </c>
      <c r="V55" s="129">
        <f t="shared" si="29"/>
        <v>49724.145547062944</v>
      </c>
      <c r="W55" s="129">
        <f>117180*W32/100</f>
        <v>117180</v>
      </c>
      <c r="X55" s="39">
        <v>117180</v>
      </c>
      <c r="Y55" s="126">
        <f t="shared" si="2"/>
        <v>234360</v>
      </c>
    </row>
    <row r="56" spans="1:27" s="12" customFormat="1" ht="11.25" customHeight="1" x14ac:dyDescent="0.15">
      <c r="A56" s="186" t="s">
        <v>38</v>
      </c>
      <c r="B56" s="187"/>
      <c r="C56" s="187"/>
      <c r="D56" s="187"/>
      <c r="E56" s="187"/>
      <c r="F56" s="187"/>
      <c r="G56" s="39">
        <v>7680</v>
      </c>
      <c r="H56" s="39">
        <v>1620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87">
        <f t="shared" si="16"/>
        <v>9300</v>
      </c>
      <c r="X56" s="39"/>
      <c r="Y56" s="126">
        <f t="shared" si="2"/>
        <v>9300</v>
      </c>
    </row>
    <row r="57" spans="1:27" s="12" customFormat="1" ht="11.25" customHeight="1" x14ac:dyDescent="0.15">
      <c r="A57" s="186" t="s">
        <v>39</v>
      </c>
      <c r="B57" s="187"/>
      <c r="C57" s="187"/>
      <c r="D57" s="187"/>
      <c r="E57" s="187"/>
      <c r="F57" s="187"/>
      <c r="G57" s="39">
        <v>54127</v>
      </c>
      <c r="H57" s="39">
        <v>16945</v>
      </c>
      <c r="I57" s="39"/>
      <c r="J57" s="39">
        <v>941</v>
      </c>
      <c r="K57" s="39">
        <v>2898</v>
      </c>
      <c r="L57" s="39">
        <v>533</v>
      </c>
      <c r="M57" s="39">
        <v>164</v>
      </c>
      <c r="N57" s="39">
        <v>6718</v>
      </c>
      <c r="O57" s="39"/>
      <c r="P57" s="39">
        <v>448</v>
      </c>
      <c r="Q57" s="39">
        <v>1886</v>
      </c>
      <c r="R57" s="39">
        <v>0</v>
      </c>
      <c r="S57" s="39">
        <v>140</v>
      </c>
      <c r="T57" s="39">
        <v>82</v>
      </c>
      <c r="U57" s="39">
        <v>2748</v>
      </c>
      <c r="V57" s="39">
        <v>29924</v>
      </c>
      <c r="W57" s="87">
        <f t="shared" si="16"/>
        <v>117554</v>
      </c>
      <c r="X57" s="97"/>
      <c r="Y57" s="126">
        <f t="shared" si="2"/>
        <v>117554</v>
      </c>
    </row>
    <row r="58" spans="1:27" s="20" customFormat="1" ht="11.25" customHeight="1" x14ac:dyDescent="0.15">
      <c r="A58" s="188" t="s">
        <v>89</v>
      </c>
      <c r="B58" s="189"/>
      <c r="C58" s="189"/>
      <c r="D58" s="189"/>
      <c r="E58" s="189"/>
      <c r="F58" s="189"/>
      <c r="G58" s="71">
        <f>27349*G30/100</f>
        <v>23079.407231080764</v>
      </c>
      <c r="H58" s="71">
        <f t="shared" ref="H58:V58" si="30">27349*H30/100</f>
        <v>656.30840538560221</v>
      </c>
      <c r="I58" s="71">
        <f t="shared" si="30"/>
        <v>0</v>
      </c>
      <c r="J58" s="71">
        <f t="shared" si="30"/>
        <v>9.3552203817383788</v>
      </c>
      <c r="K58" s="71">
        <f t="shared" si="30"/>
        <v>82.75400477172974</v>
      </c>
      <c r="L58" s="71">
        <f t="shared" si="30"/>
        <v>203.30170620324864</v>
      </c>
      <c r="M58" s="71">
        <f t="shared" si="30"/>
        <v>132.0529052489027</v>
      </c>
      <c r="N58" s="71">
        <f t="shared" si="30"/>
        <v>0</v>
      </c>
      <c r="O58" s="71">
        <f t="shared" si="30"/>
        <v>0</v>
      </c>
      <c r="P58" s="71">
        <f t="shared" si="30"/>
        <v>170.55360668042161</v>
      </c>
      <c r="Q58" s="71">
        <f t="shared" si="30"/>
        <v>208.70080572607571</v>
      </c>
      <c r="R58" s="71">
        <f t="shared" si="30"/>
        <v>0</v>
      </c>
      <c r="S58" s="71">
        <f t="shared" si="30"/>
        <v>0</v>
      </c>
      <c r="T58" s="71">
        <f t="shared" si="30"/>
        <v>0</v>
      </c>
      <c r="U58" s="71">
        <f t="shared" si="30"/>
        <v>0</v>
      </c>
      <c r="V58" s="71">
        <f t="shared" si="30"/>
        <v>2806.5661145215131</v>
      </c>
      <c r="W58" s="127">
        <f t="shared" si="16"/>
        <v>27349</v>
      </c>
      <c r="X58" s="71"/>
      <c r="Y58" s="128">
        <f t="shared" si="2"/>
        <v>27349</v>
      </c>
      <c r="Z58" s="19"/>
      <c r="AA58" s="19"/>
    </row>
    <row r="59" spans="1:27" s="20" customFormat="1" ht="11.25" customHeight="1" x14ac:dyDescent="0.15">
      <c r="A59" s="190" t="s">
        <v>40</v>
      </c>
      <c r="B59" s="191"/>
      <c r="C59" s="191"/>
      <c r="D59" s="191"/>
      <c r="E59" s="191"/>
      <c r="F59" s="191"/>
      <c r="G59" s="71">
        <f>SUM(G60:G61)</f>
        <v>112369.18334183794</v>
      </c>
      <c r="H59" s="71">
        <f t="shared" ref="H59:V59" si="31">SUM(H60:H61)</f>
        <v>7861.0159989102303</v>
      </c>
      <c r="I59" s="71">
        <f t="shared" si="31"/>
        <v>0</v>
      </c>
      <c r="J59" s="71">
        <f t="shared" si="31"/>
        <v>40.967101487371885</v>
      </c>
      <c r="K59" s="71">
        <f t="shared" si="31"/>
        <v>362.38501859214847</v>
      </c>
      <c r="L59" s="71">
        <f t="shared" si="31"/>
        <v>890.27102416979312</v>
      </c>
      <c r="M59" s="71">
        <f t="shared" si="31"/>
        <v>578.26802045136333</v>
      </c>
      <c r="N59" s="71">
        <f t="shared" si="31"/>
        <v>0</v>
      </c>
      <c r="O59" s="71">
        <f t="shared" si="31"/>
        <v>0</v>
      </c>
      <c r="P59" s="71">
        <f t="shared" si="31"/>
        <v>746.86502602900782</v>
      </c>
      <c r="Q59" s="71">
        <f t="shared" si="31"/>
        <v>913.91402231057828</v>
      </c>
      <c r="R59" s="71">
        <f t="shared" si="31"/>
        <v>0</v>
      </c>
      <c r="S59" s="71">
        <f t="shared" si="31"/>
        <v>0</v>
      </c>
      <c r="T59" s="71">
        <f t="shared" si="31"/>
        <v>0</v>
      </c>
      <c r="U59" s="71">
        <f t="shared" si="31"/>
        <v>0</v>
      </c>
      <c r="V59" s="71">
        <f t="shared" si="31"/>
        <v>24422.130446211562</v>
      </c>
      <c r="W59" s="71">
        <f>SUM(W60:W61)</f>
        <v>148185</v>
      </c>
      <c r="X59" s="71"/>
      <c r="Y59" s="128">
        <f t="shared" si="2"/>
        <v>148185</v>
      </c>
      <c r="Z59" s="19"/>
      <c r="AA59" s="19"/>
    </row>
    <row r="60" spans="1:27" s="20" customFormat="1" ht="11.25" customHeight="1" x14ac:dyDescent="0.15">
      <c r="A60" s="136"/>
      <c r="B60" s="142"/>
      <c r="C60" s="142"/>
      <c r="D60" s="142" t="s">
        <v>92</v>
      </c>
      <c r="E60" s="142"/>
      <c r="F60" s="142"/>
      <c r="G60" s="96">
        <v>11303</v>
      </c>
      <c r="H60" s="96">
        <v>4987</v>
      </c>
      <c r="I60" s="96"/>
      <c r="J60" s="96"/>
      <c r="K60" s="96"/>
      <c r="L60" s="96"/>
      <c r="M60" s="96">
        <v>0</v>
      </c>
      <c r="N60" s="96">
        <v>0</v>
      </c>
      <c r="O60" s="96"/>
      <c r="P60" s="96"/>
      <c r="Q60" s="96"/>
      <c r="R60" s="96"/>
      <c r="S60" s="96"/>
      <c r="T60" s="96"/>
      <c r="U60" s="96"/>
      <c r="V60" s="96">
        <v>12132</v>
      </c>
      <c r="W60" s="130">
        <f t="shared" si="16"/>
        <v>28422</v>
      </c>
      <c r="X60" s="96"/>
      <c r="Y60" s="118"/>
      <c r="Z60" s="19"/>
      <c r="AA60" s="19"/>
    </row>
    <row r="61" spans="1:27" s="20" customFormat="1" ht="11.25" customHeight="1" x14ac:dyDescent="0.15">
      <c r="A61" s="136"/>
      <c r="B61" s="135"/>
      <c r="C61" s="135"/>
      <c r="D61" s="135" t="s">
        <v>93</v>
      </c>
      <c r="E61" s="135"/>
      <c r="F61" s="135"/>
      <c r="G61" s="71">
        <f>119763*G30/100</f>
        <v>101066.18334183794</v>
      </c>
      <c r="H61" s="71">
        <f t="shared" ref="H61:V61" si="32">119763*H30/100</f>
        <v>2874.0159989102303</v>
      </c>
      <c r="I61" s="71">
        <f t="shared" si="32"/>
        <v>0</v>
      </c>
      <c r="J61" s="71">
        <f t="shared" si="32"/>
        <v>40.967101487371885</v>
      </c>
      <c r="K61" s="71">
        <f t="shared" si="32"/>
        <v>362.38501859214847</v>
      </c>
      <c r="L61" s="71">
        <f t="shared" si="32"/>
        <v>890.27102416979312</v>
      </c>
      <c r="M61" s="71">
        <f t="shared" si="32"/>
        <v>578.26802045136333</v>
      </c>
      <c r="N61" s="71">
        <f t="shared" si="32"/>
        <v>0</v>
      </c>
      <c r="O61" s="71">
        <f t="shared" si="32"/>
        <v>0</v>
      </c>
      <c r="P61" s="71">
        <f t="shared" si="32"/>
        <v>746.86502602900782</v>
      </c>
      <c r="Q61" s="71">
        <f t="shared" si="32"/>
        <v>913.91402231057828</v>
      </c>
      <c r="R61" s="71">
        <f t="shared" si="32"/>
        <v>0</v>
      </c>
      <c r="S61" s="71">
        <f t="shared" si="32"/>
        <v>0</v>
      </c>
      <c r="T61" s="71">
        <f t="shared" si="32"/>
        <v>0</v>
      </c>
      <c r="U61" s="71">
        <f t="shared" si="32"/>
        <v>0</v>
      </c>
      <c r="V61" s="71">
        <f t="shared" si="32"/>
        <v>12290.130446211562</v>
      </c>
      <c r="W61" s="127">
        <f t="shared" si="16"/>
        <v>119762.99999999999</v>
      </c>
      <c r="X61" s="71"/>
      <c r="Y61" s="128"/>
      <c r="Z61" s="19"/>
      <c r="AA61" s="19"/>
    </row>
    <row r="62" spans="1:27" s="20" customFormat="1" ht="8.25" customHeight="1" x14ac:dyDescent="0.15">
      <c r="A62" s="188" t="s">
        <v>78</v>
      </c>
      <c r="B62" s="189"/>
      <c r="C62" s="189"/>
      <c r="D62" s="189"/>
      <c r="E62" s="189"/>
      <c r="F62" s="189"/>
      <c r="G62" s="71">
        <f>0*G30/100</f>
        <v>0</v>
      </c>
      <c r="H62" s="71">
        <f t="shared" ref="H62:V62" si="33">0*H30/100</f>
        <v>0</v>
      </c>
      <c r="I62" s="71">
        <f t="shared" si="33"/>
        <v>0</v>
      </c>
      <c r="J62" s="71">
        <f t="shared" si="33"/>
        <v>0</v>
      </c>
      <c r="K62" s="71">
        <f t="shared" si="33"/>
        <v>0</v>
      </c>
      <c r="L62" s="71">
        <f t="shared" si="33"/>
        <v>0</v>
      </c>
      <c r="M62" s="71">
        <f t="shared" si="33"/>
        <v>0</v>
      </c>
      <c r="N62" s="71">
        <f t="shared" si="33"/>
        <v>0</v>
      </c>
      <c r="O62" s="71">
        <f t="shared" si="33"/>
        <v>0</v>
      </c>
      <c r="P62" s="71">
        <f t="shared" si="33"/>
        <v>0</v>
      </c>
      <c r="Q62" s="71">
        <f t="shared" si="33"/>
        <v>0</v>
      </c>
      <c r="R62" s="71">
        <f t="shared" si="33"/>
        <v>0</v>
      </c>
      <c r="S62" s="71">
        <f t="shared" si="33"/>
        <v>0</v>
      </c>
      <c r="T62" s="71">
        <f t="shared" si="33"/>
        <v>0</v>
      </c>
      <c r="U62" s="71">
        <f t="shared" si="33"/>
        <v>0</v>
      </c>
      <c r="V62" s="71">
        <f t="shared" si="33"/>
        <v>0</v>
      </c>
      <c r="W62" s="127">
        <f t="shared" si="16"/>
        <v>0</v>
      </c>
      <c r="X62" s="71">
        <v>0</v>
      </c>
      <c r="Y62" s="128">
        <f>SUM(W62:X62)</f>
        <v>0</v>
      </c>
    </row>
    <row r="63" spans="1:27" s="20" customFormat="1" ht="12" x14ac:dyDescent="0.15">
      <c r="A63" s="190" t="s">
        <v>41</v>
      </c>
      <c r="B63" s="191"/>
      <c r="C63" s="191"/>
      <c r="D63" s="191"/>
      <c r="E63" s="191"/>
      <c r="F63" s="191"/>
      <c r="G63" s="71">
        <f>SUM(G64:G68)</f>
        <v>247157.82165049599</v>
      </c>
      <c r="H63" s="71">
        <f t="shared" ref="H63:W63" si="34">SUM(H64:H68)</f>
        <v>6852.1102864226323</v>
      </c>
      <c r="I63" s="71">
        <f t="shared" si="34"/>
        <v>0</v>
      </c>
      <c r="J63" s="71">
        <f t="shared" si="34"/>
        <v>97.672071976280165</v>
      </c>
      <c r="K63" s="71">
        <f t="shared" si="34"/>
        <v>863.9833997035023</v>
      </c>
      <c r="L63" s="71">
        <f t="shared" si="34"/>
        <v>2122.5474196145528</v>
      </c>
      <c r="M63" s="71">
        <f t="shared" si="34"/>
        <v>1378.6827396738522</v>
      </c>
      <c r="N63" s="71">
        <f t="shared" si="34"/>
        <v>220</v>
      </c>
      <c r="O63" s="71">
        <f t="shared" si="34"/>
        <v>0</v>
      </c>
      <c r="P63" s="71">
        <f t="shared" si="34"/>
        <v>1780.6447595849027</v>
      </c>
      <c r="Q63" s="71">
        <f t="shared" si="34"/>
        <v>2178.9160796442025</v>
      </c>
      <c r="R63" s="71">
        <f t="shared" si="34"/>
        <v>0</v>
      </c>
      <c r="S63" s="71">
        <f t="shared" si="34"/>
        <v>0</v>
      </c>
      <c r="T63" s="71">
        <f t="shared" si="34"/>
        <v>0</v>
      </c>
      <c r="U63" s="71">
        <f t="shared" si="34"/>
        <v>0</v>
      </c>
      <c r="V63" s="71">
        <f t="shared" si="34"/>
        <v>29301.621592884047</v>
      </c>
      <c r="W63" s="71">
        <f t="shared" si="34"/>
        <v>291954</v>
      </c>
      <c r="X63" s="71">
        <f>SUM(X64:X67)</f>
        <v>142767</v>
      </c>
      <c r="Y63" s="128">
        <f t="shared" si="2"/>
        <v>434721</v>
      </c>
      <c r="Z63" s="19"/>
      <c r="AA63" s="19"/>
    </row>
    <row r="64" spans="1:27" s="12" customFormat="1" ht="12" x14ac:dyDescent="0.15">
      <c r="A64" s="186" t="s">
        <v>42</v>
      </c>
      <c r="B64" s="187"/>
      <c r="C64" s="187"/>
      <c r="D64" s="187"/>
      <c r="E64" s="187"/>
      <c r="F64" s="187"/>
      <c r="G64" s="39">
        <v>6200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87">
        <f t="shared" si="16"/>
        <v>6200</v>
      </c>
      <c r="X64" s="39"/>
      <c r="Y64" s="126">
        <f t="shared" si="2"/>
        <v>6200</v>
      </c>
    </row>
    <row r="65" spans="1:27" s="12" customFormat="1" ht="12" x14ac:dyDescent="0.15">
      <c r="A65" s="154"/>
      <c r="B65" s="155"/>
      <c r="C65" s="155"/>
      <c r="D65" s="155"/>
      <c r="E65" s="155"/>
      <c r="F65" s="155"/>
      <c r="G65" s="156">
        <f>41040*G30/100</f>
        <v>34633.034946928761</v>
      </c>
      <c r="H65" s="156">
        <f t="shared" ref="H65:V65" si="35">41040*H30/100</f>
        <v>984.85856729771172</v>
      </c>
      <c r="I65" s="156">
        <f t="shared" si="35"/>
        <v>0</v>
      </c>
      <c r="J65" s="156">
        <f t="shared" si="35"/>
        <v>14.03847469620619</v>
      </c>
      <c r="K65" s="156">
        <f t="shared" si="35"/>
        <v>124.18093370257739</v>
      </c>
      <c r="L65" s="156">
        <f t="shared" si="35"/>
        <v>305.07521381335056</v>
      </c>
      <c r="M65" s="156">
        <f t="shared" si="35"/>
        <v>198.1590270728351</v>
      </c>
      <c r="N65" s="156">
        <f t="shared" si="35"/>
        <v>0</v>
      </c>
      <c r="O65" s="156">
        <f t="shared" si="35"/>
        <v>0</v>
      </c>
      <c r="P65" s="156">
        <f t="shared" si="35"/>
        <v>255.93330718360829</v>
      </c>
      <c r="Q65" s="156">
        <f t="shared" si="35"/>
        <v>313.17712044309286</v>
      </c>
      <c r="R65" s="156">
        <f t="shared" si="35"/>
        <v>0</v>
      </c>
      <c r="S65" s="156">
        <f t="shared" si="35"/>
        <v>0</v>
      </c>
      <c r="T65" s="156">
        <f t="shared" si="35"/>
        <v>0</v>
      </c>
      <c r="U65" s="156">
        <f t="shared" si="35"/>
        <v>0</v>
      </c>
      <c r="V65" s="156">
        <f t="shared" si="35"/>
        <v>4211.5424088618565</v>
      </c>
      <c r="W65" s="157">
        <f>SUM(G65:V65)</f>
        <v>41040</v>
      </c>
      <c r="X65" s="156">
        <v>41040</v>
      </c>
      <c r="Y65" s="158"/>
      <c r="Z65" s="12" t="s">
        <v>158</v>
      </c>
    </row>
    <row r="66" spans="1:27" s="159" customFormat="1" ht="12" x14ac:dyDescent="0.15">
      <c r="A66" s="154"/>
      <c r="B66" s="155"/>
      <c r="C66" s="155"/>
      <c r="D66" s="155"/>
      <c r="E66" s="155"/>
      <c r="F66" s="155"/>
      <c r="G66" s="156">
        <f>101727*G30/100</f>
        <v>85845.875878319232</v>
      </c>
      <c r="H66" s="156">
        <f t="shared" ref="H66:V66" si="36">101727*H30/100</f>
        <v>2441.1965759136042</v>
      </c>
      <c r="I66" s="156">
        <f t="shared" si="36"/>
        <v>0</v>
      </c>
      <c r="J66" s="156">
        <f t="shared" si="36"/>
        <v>34.797561291933896</v>
      </c>
      <c r="K66" s="156">
        <f t="shared" si="36"/>
        <v>307.81076614917373</v>
      </c>
      <c r="L66" s="156">
        <f t="shared" si="36"/>
        <v>756.1984959939258</v>
      </c>
      <c r="M66" s="156">
        <f t="shared" si="36"/>
        <v>491.182342764091</v>
      </c>
      <c r="N66" s="156">
        <f t="shared" si="36"/>
        <v>0</v>
      </c>
      <c r="O66" s="156">
        <f t="shared" si="36"/>
        <v>0</v>
      </c>
      <c r="P66" s="156">
        <f t="shared" si="36"/>
        <v>634.38907260884309</v>
      </c>
      <c r="Q66" s="156">
        <f t="shared" si="36"/>
        <v>776.28091937900842</v>
      </c>
      <c r="R66" s="156">
        <f t="shared" si="36"/>
        <v>0</v>
      </c>
      <c r="S66" s="156">
        <f t="shared" si="36"/>
        <v>0</v>
      </c>
      <c r="T66" s="156">
        <f t="shared" si="36"/>
        <v>0</v>
      </c>
      <c r="U66" s="156">
        <f t="shared" si="36"/>
        <v>0</v>
      </c>
      <c r="V66" s="156">
        <f t="shared" si="36"/>
        <v>10439.268387580167</v>
      </c>
      <c r="W66" s="157">
        <f>SUM(G66:V66)</f>
        <v>101726.99999999997</v>
      </c>
      <c r="X66" s="156">
        <v>101727</v>
      </c>
      <c r="Y66" s="158"/>
    </row>
    <row r="67" spans="1:27" s="12" customFormat="1" ht="11.25" customHeight="1" x14ac:dyDescent="0.15">
      <c r="A67" s="192" t="s">
        <v>107</v>
      </c>
      <c r="B67" s="193"/>
      <c r="C67" s="193"/>
      <c r="D67" s="193"/>
      <c r="E67" s="193"/>
      <c r="F67" s="193"/>
      <c r="G67" s="39">
        <v>0</v>
      </c>
      <c r="H67" s="39"/>
      <c r="I67" s="39"/>
      <c r="J67" s="39"/>
      <c r="K67" s="39"/>
      <c r="L67" s="39"/>
      <c r="M67" s="39"/>
      <c r="N67" s="39">
        <v>220</v>
      </c>
      <c r="O67" s="39"/>
      <c r="P67" s="39"/>
      <c r="Q67" s="39"/>
      <c r="R67" s="39"/>
      <c r="S67" s="39"/>
      <c r="T67" s="39"/>
      <c r="U67" s="39"/>
      <c r="V67" s="39"/>
      <c r="W67" s="87">
        <f t="shared" si="16"/>
        <v>220</v>
      </c>
      <c r="X67" s="97"/>
      <c r="Y67" s="126">
        <f t="shared" si="2"/>
        <v>220</v>
      </c>
    </row>
    <row r="68" spans="1:27" s="12" customFormat="1" ht="11.25" customHeight="1" x14ac:dyDescent="0.15">
      <c r="A68" s="134"/>
      <c r="B68" s="135"/>
      <c r="C68" s="135"/>
      <c r="D68" s="135" t="s">
        <v>93</v>
      </c>
      <c r="E68" s="135"/>
      <c r="F68" s="135"/>
      <c r="G68" s="39">
        <f>142767*G30/100</f>
        <v>120478.91082524801</v>
      </c>
      <c r="H68" s="39">
        <f t="shared" ref="H68:V68" si="37">142767*H30/100</f>
        <v>3426.0551432113157</v>
      </c>
      <c r="I68" s="39">
        <f t="shared" si="37"/>
        <v>0</v>
      </c>
      <c r="J68" s="39">
        <f t="shared" si="37"/>
        <v>48.836035988140083</v>
      </c>
      <c r="K68" s="39">
        <f t="shared" si="37"/>
        <v>431.99169985175109</v>
      </c>
      <c r="L68" s="39">
        <f t="shared" si="37"/>
        <v>1061.2737098072764</v>
      </c>
      <c r="M68" s="39">
        <f t="shared" si="37"/>
        <v>689.34136983692622</v>
      </c>
      <c r="N68" s="39">
        <f t="shared" si="37"/>
        <v>0</v>
      </c>
      <c r="O68" s="39">
        <f t="shared" si="37"/>
        <v>0</v>
      </c>
      <c r="P68" s="39">
        <f t="shared" si="37"/>
        <v>890.32237979245144</v>
      </c>
      <c r="Q68" s="39">
        <f t="shared" si="37"/>
        <v>1089.4580398221012</v>
      </c>
      <c r="R68" s="39">
        <f t="shared" si="37"/>
        <v>0</v>
      </c>
      <c r="S68" s="39">
        <f t="shared" si="37"/>
        <v>0</v>
      </c>
      <c r="T68" s="39">
        <f t="shared" si="37"/>
        <v>0</v>
      </c>
      <c r="U68" s="39">
        <f t="shared" si="37"/>
        <v>0</v>
      </c>
      <c r="V68" s="39">
        <f t="shared" si="37"/>
        <v>14650.810796442023</v>
      </c>
      <c r="W68" s="87">
        <f t="shared" si="16"/>
        <v>142767</v>
      </c>
      <c r="X68" s="97">
        <v>101727</v>
      </c>
      <c r="Y68" s="126">
        <v>113203</v>
      </c>
    </row>
    <row r="69" spans="1:27" s="20" customFormat="1" ht="11.25" customHeight="1" x14ac:dyDescent="0.15">
      <c r="A69" s="188" t="s">
        <v>77</v>
      </c>
      <c r="B69" s="189"/>
      <c r="C69" s="189"/>
      <c r="D69" s="189"/>
      <c r="E69" s="189"/>
      <c r="F69" s="189"/>
      <c r="G69" s="71">
        <f>2000*G30/100</f>
        <v>1687.7697342557874</v>
      </c>
      <c r="H69" s="71">
        <f t="shared" ref="H69:V69" si="38">2000*H30/100</f>
        <v>47.995056885853401</v>
      </c>
      <c r="I69" s="71">
        <f t="shared" si="38"/>
        <v>0</v>
      </c>
      <c r="J69" s="71">
        <f t="shared" si="38"/>
        <v>0.68413619377223156</v>
      </c>
      <c r="K69" s="71">
        <f t="shared" si="38"/>
        <v>6.0517024221528937</v>
      </c>
      <c r="L69" s="71">
        <f t="shared" si="38"/>
        <v>14.867213148798761</v>
      </c>
      <c r="M69" s="71">
        <f t="shared" si="38"/>
        <v>9.6568726643681835</v>
      </c>
      <c r="N69" s="71">
        <f t="shared" si="38"/>
        <v>0</v>
      </c>
      <c r="O69" s="71">
        <f t="shared" si="38"/>
        <v>0</v>
      </c>
      <c r="P69" s="71">
        <f t="shared" si="38"/>
        <v>12.47238339101405</v>
      </c>
      <c r="Q69" s="71">
        <f t="shared" si="38"/>
        <v>15.262042906583472</v>
      </c>
      <c r="R69" s="71">
        <f t="shared" si="38"/>
        <v>0</v>
      </c>
      <c r="S69" s="71">
        <f t="shared" si="38"/>
        <v>0</v>
      </c>
      <c r="T69" s="71">
        <f t="shared" si="38"/>
        <v>0</v>
      </c>
      <c r="U69" s="71">
        <f t="shared" si="38"/>
        <v>0</v>
      </c>
      <c r="V69" s="71">
        <f t="shared" si="38"/>
        <v>205.2408581316694</v>
      </c>
      <c r="W69" s="127">
        <f t="shared" si="16"/>
        <v>2000</v>
      </c>
      <c r="X69" s="71">
        <v>2000</v>
      </c>
      <c r="Y69" s="128">
        <f t="shared" si="2"/>
        <v>4000</v>
      </c>
      <c r="Z69" s="19"/>
      <c r="AA69" s="19"/>
    </row>
    <row r="70" spans="1:27" s="20" customFormat="1" ht="11.25" customHeight="1" x14ac:dyDescent="0.15">
      <c r="A70" s="190" t="s">
        <v>43</v>
      </c>
      <c r="B70" s="191"/>
      <c r="C70" s="191"/>
      <c r="D70" s="191"/>
      <c r="E70" s="191"/>
      <c r="F70" s="191"/>
      <c r="G70" s="71">
        <f t="shared" ref="G70:V70" si="39">SUM(G71:G73)</f>
        <v>476761.19453257485</v>
      </c>
      <c r="H70" s="71">
        <f t="shared" si="39"/>
        <v>13557.643669115869</v>
      </c>
      <c r="I70" s="71">
        <f t="shared" si="39"/>
        <v>0</v>
      </c>
      <c r="J70" s="71">
        <f t="shared" si="39"/>
        <v>193.25479201677996</v>
      </c>
      <c r="K70" s="71">
        <f t="shared" si="39"/>
        <v>1709.4849002097494</v>
      </c>
      <c r="L70" s="71">
        <f t="shared" si="39"/>
        <v>4199.690370272674</v>
      </c>
      <c r="M70" s="71">
        <f t="shared" si="39"/>
        <v>2727.873390230724</v>
      </c>
      <c r="N70" s="71">
        <f t="shared" si="39"/>
        <v>0</v>
      </c>
      <c r="O70" s="71">
        <f t="shared" si="39"/>
        <v>0</v>
      </c>
      <c r="P70" s="71">
        <f t="shared" si="39"/>
        <v>3523.198860293649</v>
      </c>
      <c r="Q70" s="71">
        <f t="shared" si="39"/>
        <v>4311.2218802517</v>
      </c>
      <c r="R70" s="71">
        <f t="shared" si="39"/>
        <v>0</v>
      </c>
      <c r="S70" s="71">
        <f t="shared" si="39"/>
        <v>0</v>
      </c>
      <c r="T70" s="71">
        <f t="shared" si="39"/>
        <v>0</v>
      </c>
      <c r="U70" s="71">
        <f t="shared" si="39"/>
        <v>0</v>
      </c>
      <c r="V70" s="71">
        <f t="shared" si="39"/>
        <v>76336.437605033978</v>
      </c>
      <c r="W70" s="127">
        <f t="shared" si="16"/>
        <v>583320</v>
      </c>
      <c r="X70" s="71">
        <f>SUM(X71:X73)</f>
        <v>583320</v>
      </c>
      <c r="Y70" s="128">
        <f t="shared" si="2"/>
        <v>1166640</v>
      </c>
      <c r="Z70" s="19"/>
      <c r="AA70" s="19"/>
    </row>
    <row r="71" spans="1:27" s="12" customFormat="1" ht="12" x14ac:dyDescent="0.15">
      <c r="A71" s="186" t="s">
        <v>44</v>
      </c>
      <c r="B71" s="187"/>
      <c r="C71" s="187"/>
      <c r="D71" s="187"/>
      <c r="E71" s="187"/>
      <c r="F71" s="187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>
        <v>18360</v>
      </c>
      <c r="W71" s="87">
        <f t="shared" si="16"/>
        <v>18360</v>
      </c>
      <c r="X71" s="39">
        <v>18360</v>
      </c>
      <c r="Y71" s="126">
        <f t="shared" si="2"/>
        <v>36720</v>
      </c>
    </row>
    <row r="72" spans="1:27" s="12" customFormat="1" ht="12" x14ac:dyDescent="0.15">
      <c r="A72" s="188" t="s">
        <v>55</v>
      </c>
      <c r="B72" s="189"/>
      <c r="C72" s="189"/>
      <c r="D72" s="189"/>
      <c r="E72" s="189"/>
      <c r="F72" s="189"/>
      <c r="G72" s="39">
        <f>422400*G30/100</f>
        <v>356456.96787482232</v>
      </c>
      <c r="H72" s="39">
        <f t="shared" ref="H72:V72" si="40">422400*H30/100</f>
        <v>10136.556014292239</v>
      </c>
      <c r="I72" s="39">
        <f t="shared" si="40"/>
        <v>0</v>
      </c>
      <c r="J72" s="39">
        <f t="shared" si="40"/>
        <v>144.48956412469531</v>
      </c>
      <c r="K72" s="39">
        <f t="shared" si="40"/>
        <v>1278.1195515586912</v>
      </c>
      <c r="L72" s="39">
        <f t="shared" si="40"/>
        <v>3139.9554170262982</v>
      </c>
      <c r="M72" s="39">
        <f t="shared" si="40"/>
        <v>2039.53150671456</v>
      </c>
      <c r="N72" s="39">
        <f t="shared" si="40"/>
        <v>0</v>
      </c>
      <c r="O72" s="39">
        <f t="shared" si="40"/>
        <v>0</v>
      </c>
      <c r="P72" s="39">
        <f t="shared" si="40"/>
        <v>2634.1673721821676</v>
      </c>
      <c r="Q72" s="39">
        <f t="shared" si="40"/>
        <v>3223.3434618704296</v>
      </c>
      <c r="R72" s="39">
        <f t="shared" si="40"/>
        <v>0</v>
      </c>
      <c r="S72" s="39">
        <f t="shared" si="40"/>
        <v>0</v>
      </c>
      <c r="T72" s="39">
        <f t="shared" si="40"/>
        <v>0</v>
      </c>
      <c r="U72" s="39">
        <f t="shared" si="40"/>
        <v>0</v>
      </c>
      <c r="V72" s="39">
        <f t="shared" si="40"/>
        <v>43346.86923740858</v>
      </c>
      <c r="W72" s="87">
        <f t="shared" si="16"/>
        <v>422400</v>
      </c>
      <c r="X72" s="39">
        <v>422400</v>
      </c>
      <c r="Y72" s="126">
        <f t="shared" si="2"/>
        <v>844800</v>
      </c>
    </row>
    <row r="73" spans="1:27" s="12" customFormat="1" ht="12" x14ac:dyDescent="0.15">
      <c r="A73" s="188" t="s">
        <v>56</v>
      </c>
      <c r="B73" s="189"/>
      <c r="C73" s="189"/>
      <c r="D73" s="189"/>
      <c r="E73" s="189"/>
      <c r="F73" s="189"/>
      <c r="G73" s="39">
        <f>142560*G30/100</f>
        <v>120304.22665775253</v>
      </c>
      <c r="H73" s="39">
        <f t="shared" ref="H73:V73" si="41">142560*H30/100</f>
        <v>3421.0876548236301</v>
      </c>
      <c r="I73" s="39">
        <f t="shared" si="41"/>
        <v>0</v>
      </c>
      <c r="J73" s="39">
        <f t="shared" si="41"/>
        <v>48.76522789208466</v>
      </c>
      <c r="K73" s="39">
        <f t="shared" si="41"/>
        <v>431.36534865105824</v>
      </c>
      <c r="L73" s="39">
        <f t="shared" si="41"/>
        <v>1059.7349532463757</v>
      </c>
      <c r="M73" s="39">
        <f t="shared" si="41"/>
        <v>688.3418835161641</v>
      </c>
      <c r="N73" s="39">
        <f t="shared" si="41"/>
        <v>0</v>
      </c>
      <c r="O73" s="39">
        <f t="shared" si="41"/>
        <v>0</v>
      </c>
      <c r="P73" s="39">
        <f t="shared" si="41"/>
        <v>889.03148811148139</v>
      </c>
      <c r="Q73" s="39">
        <f t="shared" si="41"/>
        <v>1087.87841838127</v>
      </c>
      <c r="R73" s="39">
        <f t="shared" si="41"/>
        <v>0</v>
      </c>
      <c r="S73" s="39">
        <f t="shared" si="41"/>
        <v>0</v>
      </c>
      <c r="T73" s="39">
        <f t="shared" si="41"/>
        <v>0</v>
      </c>
      <c r="U73" s="39">
        <f t="shared" si="41"/>
        <v>0</v>
      </c>
      <c r="V73" s="39">
        <f t="shared" si="41"/>
        <v>14629.568367625396</v>
      </c>
      <c r="W73" s="87">
        <f t="shared" si="16"/>
        <v>142559.99999999997</v>
      </c>
      <c r="X73" s="39">
        <v>142560</v>
      </c>
      <c r="Y73" s="126">
        <f t="shared" si="2"/>
        <v>285120</v>
      </c>
    </row>
    <row r="74" spans="1:27" s="20" customFormat="1" ht="12" x14ac:dyDescent="0.15">
      <c r="A74" s="190" t="s">
        <v>45</v>
      </c>
      <c r="B74" s="191"/>
      <c r="C74" s="191"/>
      <c r="D74" s="191"/>
      <c r="E74" s="191"/>
      <c r="F74" s="191"/>
      <c r="G74" s="71">
        <v>48000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>
        <v>113000</v>
      </c>
      <c r="W74" s="127">
        <f t="shared" si="16"/>
        <v>161000</v>
      </c>
      <c r="X74" s="71">
        <v>113000</v>
      </c>
      <c r="Y74" s="128">
        <f t="shared" si="2"/>
        <v>274000</v>
      </c>
      <c r="Z74" s="19"/>
      <c r="AA74" s="19"/>
    </row>
    <row r="75" spans="1:27" s="20" customFormat="1" ht="7.5" customHeight="1" x14ac:dyDescent="0.15">
      <c r="A75" s="190" t="s">
        <v>57</v>
      </c>
      <c r="B75" s="191"/>
      <c r="C75" s="191"/>
      <c r="D75" s="191"/>
      <c r="E75" s="191"/>
      <c r="F75" s="191"/>
      <c r="G75" s="71">
        <f>SUM(G76)</f>
        <v>0</v>
      </c>
      <c r="H75" s="71">
        <f t="shared" ref="H75:V75" si="42">SUM(H76)</f>
        <v>0</v>
      </c>
      <c r="I75" s="71">
        <f t="shared" si="42"/>
        <v>0</v>
      </c>
      <c r="J75" s="71">
        <f t="shared" si="42"/>
        <v>0</v>
      </c>
      <c r="K75" s="71">
        <f t="shared" si="42"/>
        <v>0</v>
      </c>
      <c r="L75" s="71">
        <f t="shared" si="42"/>
        <v>0</v>
      </c>
      <c r="M75" s="71">
        <f t="shared" si="42"/>
        <v>0</v>
      </c>
      <c r="N75" s="71">
        <f t="shared" si="42"/>
        <v>0</v>
      </c>
      <c r="O75" s="71">
        <f t="shared" si="42"/>
        <v>0</v>
      </c>
      <c r="P75" s="71">
        <f t="shared" si="42"/>
        <v>0</v>
      </c>
      <c r="Q75" s="71">
        <f t="shared" si="42"/>
        <v>0</v>
      </c>
      <c r="R75" s="71">
        <f t="shared" si="42"/>
        <v>0</v>
      </c>
      <c r="S75" s="71">
        <f t="shared" si="42"/>
        <v>0</v>
      </c>
      <c r="T75" s="71">
        <f t="shared" si="42"/>
        <v>0</v>
      </c>
      <c r="U75" s="71">
        <f t="shared" si="42"/>
        <v>0</v>
      </c>
      <c r="V75" s="71">
        <f t="shared" si="42"/>
        <v>13000</v>
      </c>
      <c r="W75" s="127">
        <f t="shared" si="16"/>
        <v>13000</v>
      </c>
      <c r="X75" s="71">
        <f>X76</f>
        <v>13000</v>
      </c>
      <c r="Y75" s="128">
        <f t="shared" si="2"/>
        <v>26000</v>
      </c>
      <c r="Z75" s="19"/>
      <c r="AA75" s="19"/>
    </row>
    <row r="76" spans="1:27" s="12" customFormat="1" ht="7.5" customHeight="1" x14ac:dyDescent="0.15">
      <c r="A76" s="186" t="s">
        <v>54</v>
      </c>
      <c r="B76" s="187"/>
      <c r="C76" s="187"/>
      <c r="D76" s="187"/>
      <c r="E76" s="187"/>
      <c r="F76" s="187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>
        <v>13000</v>
      </c>
      <c r="W76" s="87">
        <f t="shared" si="16"/>
        <v>13000</v>
      </c>
      <c r="X76" s="39">
        <v>13000</v>
      </c>
      <c r="Y76" s="126">
        <f t="shared" si="2"/>
        <v>26000</v>
      </c>
    </row>
    <row r="77" spans="1:27" s="20" customFormat="1" ht="11.25" customHeight="1" x14ac:dyDescent="0.15">
      <c r="A77" s="190" t="s">
        <v>82</v>
      </c>
      <c r="B77" s="191"/>
      <c r="C77" s="191"/>
      <c r="D77" s="191"/>
      <c r="E77" s="191"/>
      <c r="F77" s="19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>
        <v>21200</v>
      </c>
      <c r="W77" s="127">
        <f t="shared" si="16"/>
        <v>21200</v>
      </c>
      <c r="X77" s="71">
        <v>21200</v>
      </c>
      <c r="Y77" s="128">
        <f t="shared" si="2"/>
        <v>42400</v>
      </c>
      <c r="Z77" s="19"/>
      <c r="AA77" s="19"/>
    </row>
    <row r="78" spans="1:27" s="20" customFormat="1" ht="11.25" customHeight="1" x14ac:dyDescent="0.15">
      <c r="A78" s="190" t="s">
        <v>46</v>
      </c>
      <c r="B78" s="191"/>
      <c r="C78" s="191"/>
      <c r="D78" s="191"/>
      <c r="E78" s="191"/>
      <c r="F78" s="191"/>
      <c r="G78" s="71">
        <v>91290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>
        <v>0</v>
      </c>
      <c r="W78" s="127">
        <f t="shared" si="16"/>
        <v>91290</v>
      </c>
      <c r="X78" s="71">
        <v>0</v>
      </c>
      <c r="Y78" s="128">
        <f t="shared" si="2"/>
        <v>91290</v>
      </c>
      <c r="Z78" s="19"/>
      <c r="AA78" s="19"/>
    </row>
    <row r="79" spans="1:27" s="20" customFormat="1" ht="11.25" customHeight="1" x14ac:dyDescent="0.15">
      <c r="A79" s="190" t="s">
        <v>80</v>
      </c>
      <c r="B79" s="191"/>
      <c r="C79" s="191"/>
      <c r="D79" s="191"/>
      <c r="E79" s="191"/>
      <c r="F79" s="191"/>
      <c r="G79" s="71"/>
      <c r="H79" s="71">
        <v>56000</v>
      </c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27">
        <f t="shared" si="16"/>
        <v>56000</v>
      </c>
      <c r="X79" s="71">
        <v>0</v>
      </c>
      <c r="Y79" s="128">
        <f t="shared" si="2"/>
        <v>56000</v>
      </c>
      <c r="Z79" s="19"/>
      <c r="AA79" s="19"/>
    </row>
    <row r="80" spans="1:27" s="20" customFormat="1" ht="11.25" customHeight="1" x14ac:dyDescent="0.15">
      <c r="A80" s="190" t="s">
        <v>144</v>
      </c>
      <c r="B80" s="191"/>
      <c r="C80" s="191"/>
      <c r="D80" s="191"/>
      <c r="E80" s="191"/>
      <c r="F80" s="191"/>
      <c r="G80" s="71"/>
      <c r="H80" s="71"/>
      <c r="I80" s="71"/>
      <c r="J80" s="71"/>
      <c r="K80" s="71">
        <v>9080000</v>
      </c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127">
        <f t="shared" si="16"/>
        <v>9080000</v>
      </c>
      <c r="X80" s="71"/>
      <c r="Y80" s="128"/>
      <c r="Z80" s="19"/>
      <c r="AA80" s="19"/>
    </row>
    <row r="81" spans="1:27" s="20" customFormat="1" ht="11.25" customHeight="1" x14ac:dyDescent="0.15">
      <c r="A81" s="190" t="s">
        <v>58</v>
      </c>
      <c r="B81" s="191"/>
      <c r="C81" s="191"/>
      <c r="D81" s="191"/>
      <c r="E81" s="191"/>
      <c r="F81" s="19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>
        <v>6912</v>
      </c>
      <c r="W81" s="127">
        <f t="shared" si="16"/>
        <v>6912</v>
      </c>
      <c r="X81" s="131">
        <v>6912</v>
      </c>
      <c r="Y81" s="128">
        <f t="shared" si="2"/>
        <v>13824</v>
      </c>
      <c r="Z81" s="19"/>
      <c r="AA81" s="19"/>
    </row>
    <row r="82" spans="1:27" s="12" customFormat="1" ht="12" x14ac:dyDescent="0.15">
      <c r="A82" s="186" t="s">
        <v>59</v>
      </c>
      <c r="B82" s="187"/>
      <c r="C82" s="187"/>
      <c r="D82" s="187"/>
      <c r="E82" s="187"/>
      <c r="F82" s="187"/>
      <c r="G82" s="72">
        <f t="shared" ref="G82:U82" si="43">G34</f>
        <v>6848278.0944933984</v>
      </c>
      <c r="H82" s="72">
        <f t="shared" si="43"/>
        <v>281207.4813447292</v>
      </c>
      <c r="I82" s="72">
        <f t="shared" si="43"/>
        <v>0</v>
      </c>
      <c r="J82" s="72">
        <f t="shared" si="43"/>
        <v>3599.5364001199246</v>
      </c>
      <c r="K82" s="72">
        <f t="shared" si="43"/>
        <v>9119263.0568709709</v>
      </c>
      <c r="L82" s="72">
        <f t="shared" si="43"/>
        <v>59351.161989084219</v>
      </c>
      <c r="M82" s="72">
        <f t="shared" si="43"/>
        <v>37388.305558067208</v>
      </c>
      <c r="N82" s="72">
        <f t="shared" si="43"/>
        <v>64498</v>
      </c>
      <c r="O82" s="72">
        <f t="shared" si="43"/>
        <v>0</v>
      </c>
      <c r="P82" s="72">
        <f t="shared" si="43"/>
        <v>49232.62331644402</v>
      </c>
      <c r="Q82" s="72">
        <f t="shared" si="43"/>
        <v>64809.369576838122</v>
      </c>
      <c r="R82" s="72">
        <f t="shared" si="43"/>
        <v>0</v>
      </c>
      <c r="S82" s="72">
        <f t="shared" si="43"/>
        <v>140</v>
      </c>
      <c r="T82" s="72">
        <f t="shared" si="43"/>
        <v>82</v>
      </c>
      <c r="U82" s="72">
        <f t="shared" si="43"/>
        <v>3998</v>
      </c>
      <c r="V82" s="72">
        <f>V34</f>
        <v>1675004.3704503477</v>
      </c>
      <c r="W82" s="82">
        <f>W35+W36+W40+W41+W42+W48+W49+W53+W59+W62+W63+W69+W70+W74+W75+W77+W78+W79+W81+W58+W80</f>
        <v>18206852</v>
      </c>
      <c r="X82" s="23">
        <f>X35+X36+X40+X41+X42+X48+X49+X53+X59+X62+X63+X69+X70+X74+X75+X77+X78+X79+X81+X58</f>
        <v>8254163</v>
      </c>
      <c r="Y82" s="31">
        <f>SUM(W82:X82)</f>
        <v>26461015</v>
      </c>
    </row>
    <row r="83" spans="1:27" s="12" customFormat="1" ht="12" x14ac:dyDescent="0.15">
      <c r="A83" s="180" t="s">
        <v>60</v>
      </c>
      <c r="B83" s="181"/>
      <c r="C83" s="181"/>
      <c r="D83" s="181"/>
      <c r="E83" s="181"/>
      <c r="F83" s="181"/>
      <c r="G83" s="40">
        <f>SUM(G26-G82)</f>
        <v>-1838278.0944933984</v>
      </c>
      <c r="H83" s="40">
        <f t="shared" ref="H83:X83" si="44">SUM(H26-H82)</f>
        <v>-28707.481344729196</v>
      </c>
      <c r="I83" s="40">
        <f t="shared" si="44"/>
        <v>0</v>
      </c>
      <c r="J83" s="40">
        <f t="shared" si="44"/>
        <v>-959.53640011992456</v>
      </c>
      <c r="K83" s="40">
        <f t="shared" si="44"/>
        <v>-39263.056870970875</v>
      </c>
      <c r="L83" s="40">
        <f t="shared" si="44"/>
        <v>-55592.161989084219</v>
      </c>
      <c r="M83" s="40">
        <f t="shared" si="44"/>
        <v>-37388.305558067208</v>
      </c>
      <c r="N83" s="40">
        <f t="shared" si="44"/>
        <v>0</v>
      </c>
      <c r="O83" s="40">
        <f t="shared" si="44"/>
        <v>0</v>
      </c>
      <c r="P83" s="40">
        <f t="shared" si="44"/>
        <v>-29322.62331644402</v>
      </c>
      <c r="Q83" s="40">
        <f t="shared" si="44"/>
        <v>-62279.369576838122</v>
      </c>
      <c r="R83" s="40">
        <f t="shared" si="44"/>
        <v>0</v>
      </c>
      <c r="S83" s="40">
        <f t="shared" si="44"/>
        <v>-140</v>
      </c>
      <c r="T83" s="40">
        <f t="shared" si="44"/>
        <v>-82</v>
      </c>
      <c r="U83" s="40">
        <f t="shared" si="44"/>
        <v>-3998</v>
      </c>
      <c r="V83" s="40">
        <f t="shared" si="44"/>
        <v>2225432.6295496523</v>
      </c>
      <c r="W83" s="40">
        <f t="shared" si="44"/>
        <v>129422</v>
      </c>
      <c r="X83" s="40">
        <f t="shared" si="44"/>
        <v>-8254163</v>
      </c>
      <c r="Y83" s="26">
        <f>Y35+Y36+Y40+Y41+Y42+Y48+Y49+Y53+Y58+Y59+Y63+Y69+Y70+Y74+Y75+Y77+Y78+Y79+Y81+Y62</f>
        <v>17381015</v>
      </c>
    </row>
    <row r="84" spans="1:27" s="12" customFormat="1" ht="12" x14ac:dyDescent="0.15">
      <c r="A84" s="184" t="s">
        <v>61</v>
      </c>
      <c r="B84" s="185"/>
      <c r="C84" s="185"/>
      <c r="D84" s="185"/>
      <c r="E84" s="185"/>
      <c r="F84" s="185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9"/>
    </row>
    <row r="85" spans="1:27" s="12" customFormat="1" ht="12" x14ac:dyDescent="0.15">
      <c r="A85" s="180" t="s">
        <v>62</v>
      </c>
      <c r="B85" s="181"/>
      <c r="C85" s="181"/>
      <c r="D85" s="181"/>
      <c r="E85" s="181"/>
      <c r="F85" s="181"/>
      <c r="G85" s="24">
        <v>3696676</v>
      </c>
      <c r="H85" s="24">
        <v>-37301</v>
      </c>
      <c r="I85" s="24">
        <v>0</v>
      </c>
      <c r="J85" s="24">
        <v>-830</v>
      </c>
      <c r="K85" s="24">
        <v>-1080</v>
      </c>
      <c r="L85" s="24">
        <v>-8014</v>
      </c>
      <c r="M85" s="24">
        <v>-986</v>
      </c>
      <c r="N85" s="24">
        <v>40388</v>
      </c>
      <c r="O85" s="24">
        <v>-1994</v>
      </c>
      <c r="P85" s="24">
        <v>226</v>
      </c>
      <c r="Q85" s="24">
        <v>7491</v>
      </c>
      <c r="R85" s="24">
        <v>7491</v>
      </c>
      <c r="S85" s="24">
        <v>-38967</v>
      </c>
      <c r="T85" s="24">
        <v>-38967</v>
      </c>
      <c r="U85" s="24">
        <v>-38967</v>
      </c>
      <c r="V85" s="24">
        <v>-4238152</v>
      </c>
      <c r="W85" s="25">
        <v>-582543</v>
      </c>
      <c r="X85" s="76">
        <f>SUM(W82-W26)+272189</f>
        <v>142767</v>
      </c>
    </row>
    <row r="86" spans="1:27" s="12" customFormat="1" ht="12" x14ac:dyDescent="0.15">
      <c r="A86" s="180" t="s">
        <v>63</v>
      </c>
      <c r="B86" s="181"/>
      <c r="C86" s="181"/>
      <c r="D86" s="181"/>
      <c r="E86" s="181"/>
      <c r="F86" s="181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8"/>
      <c r="X86" s="80" t="s">
        <v>147</v>
      </c>
    </row>
    <row r="87" spans="1:27" s="12" customFormat="1" ht="12" x14ac:dyDescent="0.15">
      <c r="A87" s="180" t="s">
        <v>64</v>
      </c>
      <c r="B87" s="181"/>
      <c r="C87" s="181"/>
      <c r="D87" s="181"/>
      <c r="E87" s="181"/>
      <c r="F87" s="181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30"/>
    </row>
    <row r="88" spans="1:27" s="12" customFormat="1" ht="12" x14ac:dyDescent="0.15">
      <c r="A88" s="180" t="s">
        <v>65</v>
      </c>
      <c r="B88" s="181"/>
      <c r="C88" s="181"/>
      <c r="D88" s="181"/>
      <c r="E88" s="181"/>
      <c r="F88" s="181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5"/>
    </row>
    <row r="89" spans="1:27" s="12" customFormat="1" ht="12" x14ac:dyDescent="0.15">
      <c r="A89" s="180" t="s">
        <v>66</v>
      </c>
      <c r="B89" s="181"/>
      <c r="C89" s="181"/>
      <c r="D89" s="181"/>
      <c r="E89" s="181"/>
      <c r="F89" s="181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8"/>
    </row>
    <row r="90" spans="1:27" s="12" customFormat="1" ht="12" x14ac:dyDescent="0.15">
      <c r="A90" s="180" t="s">
        <v>67</v>
      </c>
      <c r="B90" s="181"/>
      <c r="C90" s="181"/>
      <c r="D90" s="181"/>
      <c r="E90" s="181"/>
      <c r="F90" s="181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5"/>
    </row>
    <row r="91" spans="1:27" s="12" customFormat="1" ht="12" x14ac:dyDescent="0.15">
      <c r="A91" s="180" t="s">
        <v>68</v>
      </c>
      <c r="B91" s="181"/>
      <c r="C91" s="181"/>
      <c r="D91" s="181"/>
      <c r="E91" s="181"/>
      <c r="F91" s="181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5"/>
    </row>
    <row r="92" spans="1:27" s="12" customFormat="1" ht="12" x14ac:dyDescent="0.15">
      <c r="A92" s="180" t="s">
        <v>69</v>
      </c>
      <c r="B92" s="181"/>
      <c r="C92" s="181"/>
      <c r="D92" s="181"/>
      <c r="E92" s="181"/>
      <c r="F92" s="181"/>
      <c r="G92" s="24">
        <v>3696676</v>
      </c>
      <c r="H92" s="24">
        <v>-37301</v>
      </c>
      <c r="I92" s="24"/>
      <c r="J92" s="24">
        <v>-830</v>
      </c>
      <c r="K92" s="24">
        <v>-1080</v>
      </c>
      <c r="L92" s="24">
        <v>-8014</v>
      </c>
      <c r="M92" s="24">
        <v>-986</v>
      </c>
      <c r="N92" s="24">
        <v>40388</v>
      </c>
      <c r="O92" s="24">
        <v>-1994</v>
      </c>
      <c r="P92" s="24">
        <v>226</v>
      </c>
      <c r="Q92" s="24">
        <v>7491</v>
      </c>
      <c r="R92" s="24">
        <v>7491</v>
      </c>
      <c r="S92" s="24">
        <v>-38967</v>
      </c>
      <c r="T92" s="24">
        <v>-38967</v>
      </c>
      <c r="U92" s="24">
        <v>-38967</v>
      </c>
      <c r="V92" s="24">
        <v>-4238152</v>
      </c>
      <c r="W92" s="25">
        <v>-582543</v>
      </c>
    </row>
    <row r="93" spans="1:27" s="12" customFormat="1" ht="12" x14ac:dyDescent="0.15">
      <c r="A93" s="180" t="s">
        <v>70</v>
      </c>
      <c r="B93" s="181"/>
      <c r="C93" s="181"/>
      <c r="D93" s="181"/>
      <c r="E93" s="181"/>
      <c r="F93" s="181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>
        <v>6300893</v>
      </c>
      <c r="W93" s="25">
        <v>6300893</v>
      </c>
    </row>
    <row r="94" spans="1:27" s="12" customFormat="1" ht="12" x14ac:dyDescent="0.15">
      <c r="A94" s="180" t="s">
        <v>71</v>
      </c>
      <c r="B94" s="181"/>
      <c r="C94" s="181"/>
      <c r="D94" s="181"/>
      <c r="E94" s="181"/>
      <c r="F94" s="181"/>
      <c r="G94" s="24">
        <v>3696676</v>
      </c>
      <c r="H94" s="24">
        <v>-37301</v>
      </c>
      <c r="I94" s="24"/>
      <c r="J94" s="24">
        <v>-830</v>
      </c>
      <c r="K94" s="24">
        <v>-1080</v>
      </c>
      <c r="L94" s="24">
        <v>-8014</v>
      </c>
      <c r="M94" s="24">
        <v>-986</v>
      </c>
      <c r="N94" s="24">
        <v>40388</v>
      </c>
      <c r="O94" s="24">
        <v>-1994</v>
      </c>
      <c r="P94" s="24">
        <v>226</v>
      </c>
      <c r="Q94" s="24">
        <v>7491</v>
      </c>
      <c r="R94" s="24">
        <v>7491</v>
      </c>
      <c r="S94" s="24">
        <v>-38967</v>
      </c>
      <c r="T94" s="24">
        <v>-38967</v>
      </c>
      <c r="U94" s="24">
        <v>-38967</v>
      </c>
      <c r="V94" s="24">
        <v>2062741</v>
      </c>
      <c r="W94" s="25">
        <v>5718350</v>
      </c>
    </row>
    <row r="95" spans="1:27" s="12" customFormat="1" ht="12" x14ac:dyDescent="0.15">
      <c r="A95" s="180" t="s">
        <v>72</v>
      </c>
      <c r="B95" s="181"/>
      <c r="C95" s="181"/>
      <c r="D95" s="181"/>
      <c r="E95" s="181"/>
      <c r="F95" s="181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8"/>
    </row>
    <row r="96" spans="1:27" s="12" customFormat="1" ht="12" x14ac:dyDescent="0.15">
      <c r="A96" s="180" t="s">
        <v>73</v>
      </c>
      <c r="B96" s="181"/>
      <c r="C96" s="181"/>
      <c r="D96" s="181"/>
      <c r="E96" s="181"/>
      <c r="F96" s="181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5"/>
    </row>
    <row r="97" spans="1:23" s="12" customFormat="1" ht="12" x14ac:dyDescent="0.15">
      <c r="A97" s="180" t="s">
        <v>74</v>
      </c>
      <c r="B97" s="181"/>
      <c r="C97" s="181"/>
      <c r="D97" s="181"/>
      <c r="E97" s="181"/>
      <c r="F97" s="181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5"/>
    </row>
    <row r="98" spans="1:23" s="12" customFormat="1" ht="12" x14ac:dyDescent="0.15">
      <c r="A98" s="180" t="s">
        <v>75</v>
      </c>
      <c r="B98" s="181"/>
      <c r="C98" s="181"/>
      <c r="D98" s="181"/>
      <c r="E98" s="181"/>
      <c r="F98" s="181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5"/>
    </row>
    <row r="99" spans="1:23" s="12" customFormat="1" ht="12" x14ac:dyDescent="0.15">
      <c r="A99" s="182" t="s">
        <v>76</v>
      </c>
      <c r="B99" s="183"/>
      <c r="C99" s="183"/>
      <c r="D99" s="183"/>
      <c r="E99" s="183"/>
      <c r="F99" s="183"/>
      <c r="G99" s="24">
        <v>3696676</v>
      </c>
      <c r="H99" s="24">
        <v>-37301</v>
      </c>
      <c r="I99" s="24"/>
      <c r="J99" s="24">
        <v>-830</v>
      </c>
      <c r="K99" s="24">
        <v>-1080</v>
      </c>
      <c r="L99" s="24">
        <v>-8014</v>
      </c>
      <c r="M99" s="24">
        <v>-986</v>
      </c>
      <c r="N99" s="24">
        <v>40388</v>
      </c>
      <c r="O99" s="24">
        <v>-1994</v>
      </c>
      <c r="P99" s="24">
        <v>226</v>
      </c>
      <c r="Q99" s="24">
        <v>7491</v>
      </c>
      <c r="R99" s="24">
        <v>7491</v>
      </c>
      <c r="S99" s="24">
        <v>-38967</v>
      </c>
      <c r="T99" s="24">
        <v>-38967</v>
      </c>
      <c r="U99" s="24">
        <v>-38967</v>
      </c>
      <c r="V99" s="24">
        <v>2062741</v>
      </c>
      <c r="W99" s="25">
        <v>5718350</v>
      </c>
    </row>
    <row r="100" spans="1:23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</sheetData>
  <mergeCells count="83">
    <mergeCell ref="A7:F7"/>
    <mergeCell ref="A3:W3"/>
    <mergeCell ref="A4:F4"/>
    <mergeCell ref="A5:F6"/>
    <mergeCell ref="G5:V5"/>
    <mergeCell ref="W5:W6"/>
    <mergeCell ref="A19:F19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41:F41"/>
    <mergeCell ref="A20:F20"/>
    <mergeCell ref="A23:F23"/>
    <mergeCell ref="A24:F24"/>
    <mergeCell ref="A25:F25"/>
    <mergeCell ref="A26:F26"/>
    <mergeCell ref="A27:F27"/>
    <mergeCell ref="A34:F34"/>
    <mergeCell ref="A35:F35"/>
    <mergeCell ref="A36:F36"/>
    <mergeCell ref="A37:F37"/>
    <mergeCell ref="A40:F40"/>
    <mergeCell ref="A53:F53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70:F70"/>
    <mergeCell ref="A54:F54"/>
    <mergeCell ref="A55:F55"/>
    <mergeCell ref="A56:F56"/>
    <mergeCell ref="A57:F57"/>
    <mergeCell ref="A58:F58"/>
    <mergeCell ref="A59:F59"/>
    <mergeCell ref="A62:F62"/>
    <mergeCell ref="A63:F63"/>
    <mergeCell ref="A64:F64"/>
    <mergeCell ref="A67:F67"/>
    <mergeCell ref="A69:F69"/>
    <mergeCell ref="A82:F82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81:F81"/>
    <mergeCell ref="A94:F94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93:F93"/>
    <mergeCell ref="A95:F95"/>
    <mergeCell ref="A96:F96"/>
    <mergeCell ref="A97:F97"/>
    <mergeCell ref="A98:F98"/>
    <mergeCell ref="A99:F99"/>
  </mergeCells>
  <phoneticPr fontId="1"/>
  <pageMargins left="0.70866141732283472" right="0.70866141732283472" top="0.19685039370078741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topLeftCell="H6" workbookViewId="0">
      <selection activeCell="AC26" sqref="AC26"/>
    </sheetView>
  </sheetViews>
  <sheetFormatPr defaultRowHeight="13.5" x14ac:dyDescent="0.15"/>
  <cols>
    <col min="1" max="1" width="7.125" customWidth="1"/>
    <col min="6" max="6" width="4.125" customWidth="1"/>
    <col min="7" max="7" width="10.875" customWidth="1"/>
    <col min="8" max="8" width="7.875" customWidth="1"/>
    <col min="9" max="9" width="2.5" customWidth="1"/>
    <col min="10" max="10" width="5.75" customWidth="1"/>
    <col min="11" max="12" width="7.875" customWidth="1"/>
    <col min="13" max="18" width="5.875" customWidth="1"/>
    <col min="19" max="19" width="5.5" customWidth="1"/>
    <col min="20" max="20" width="7.125" customWidth="1"/>
    <col min="21" max="21" width="6.75" customWidth="1"/>
    <col min="22" max="23" width="7.125" customWidth="1"/>
    <col min="24" max="25" width="9.5" customWidth="1"/>
    <col min="26" max="26" width="10" customWidth="1"/>
    <col min="27" max="27" width="10.125" customWidth="1"/>
    <col min="28" max="28" width="10.875" customWidth="1"/>
  </cols>
  <sheetData>
    <row r="1" spans="1:28" s="3" customFormat="1" ht="18.75" customHeight="1" x14ac:dyDescent="0.15">
      <c r="A1" s="4" t="s">
        <v>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ht="13.5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8" x14ac:dyDescent="0.15">
      <c r="A3" s="204" t="s">
        <v>142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</row>
    <row r="4" spans="1:28" x14ac:dyDescent="0.15">
      <c r="A4" s="205" t="s">
        <v>0</v>
      </c>
      <c r="B4" s="205"/>
      <c r="C4" s="205"/>
      <c r="D4" s="205"/>
      <c r="E4" s="205"/>
      <c r="F4" s="20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8" hidden="1" x14ac:dyDescent="0.15">
      <c r="A5" s="206" t="s">
        <v>1</v>
      </c>
      <c r="B5" s="207"/>
      <c r="C5" s="207"/>
      <c r="D5" s="207"/>
      <c r="E5" s="207"/>
      <c r="F5" s="208"/>
      <c r="G5" s="212" t="s">
        <v>2</v>
      </c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163"/>
      <c r="Z5" s="214" t="s">
        <v>14</v>
      </c>
    </row>
    <row r="6" spans="1:28" ht="25.5" customHeight="1" x14ac:dyDescent="0.15">
      <c r="A6" s="209"/>
      <c r="B6" s="210"/>
      <c r="C6" s="210"/>
      <c r="D6" s="210"/>
      <c r="E6" s="210"/>
      <c r="F6" s="211"/>
      <c r="G6" s="6" t="s">
        <v>3</v>
      </c>
      <c r="H6" s="6" t="s">
        <v>4</v>
      </c>
      <c r="I6" s="6" t="s">
        <v>5</v>
      </c>
      <c r="J6" s="81" t="s">
        <v>6</v>
      </c>
      <c r="K6" s="81" t="s">
        <v>7</v>
      </c>
      <c r="L6" s="164" t="s">
        <v>153</v>
      </c>
      <c r="M6" s="81" t="s">
        <v>86</v>
      </c>
      <c r="N6" s="81" t="s">
        <v>87</v>
      </c>
      <c r="O6" s="81" t="s">
        <v>8</v>
      </c>
      <c r="P6" s="81" t="s">
        <v>9</v>
      </c>
      <c r="Q6" s="81" t="s">
        <v>10</v>
      </c>
      <c r="R6" s="81" t="s">
        <v>11</v>
      </c>
      <c r="S6" s="81" t="s">
        <v>98</v>
      </c>
      <c r="T6" s="6" t="s">
        <v>97</v>
      </c>
      <c r="U6" s="6" t="s">
        <v>12</v>
      </c>
      <c r="V6" s="6" t="s">
        <v>96</v>
      </c>
      <c r="W6" s="38" t="s">
        <v>154</v>
      </c>
      <c r="X6" s="6" t="s">
        <v>13</v>
      </c>
      <c r="Y6" s="38" t="s">
        <v>155</v>
      </c>
      <c r="Z6" s="215"/>
      <c r="AA6" s="7" t="s">
        <v>109</v>
      </c>
      <c r="AB6" s="8" t="s">
        <v>81</v>
      </c>
    </row>
    <row r="7" spans="1:28" s="12" customFormat="1" ht="5.25" customHeight="1" x14ac:dyDescent="0.15">
      <c r="A7" s="202" t="s">
        <v>15</v>
      </c>
      <c r="B7" s="203"/>
      <c r="C7" s="203"/>
      <c r="D7" s="203"/>
      <c r="E7" s="203"/>
      <c r="F7" s="203"/>
      <c r="G7" s="10"/>
      <c r="H7" s="10"/>
      <c r="I7" s="10"/>
      <c r="J7" s="10"/>
      <c r="K7" s="10"/>
      <c r="L7" s="41"/>
      <c r="M7" s="10"/>
      <c r="N7" s="10"/>
      <c r="O7" s="10"/>
      <c r="P7" s="10"/>
      <c r="Q7" s="10"/>
      <c r="R7" s="10"/>
      <c r="S7" s="10"/>
      <c r="T7" s="10"/>
      <c r="U7" s="10"/>
      <c r="V7" s="10"/>
      <c r="W7" s="41"/>
      <c r="X7" s="10"/>
      <c r="Y7" s="165"/>
      <c r="Z7" s="11"/>
      <c r="AB7" s="9"/>
    </row>
    <row r="8" spans="1:28" s="12" customFormat="1" ht="5.25" customHeight="1" x14ac:dyDescent="0.15">
      <c r="A8" s="186" t="s">
        <v>16</v>
      </c>
      <c r="B8" s="187"/>
      <c r="C8" s="187"/>
      <c r="D8" s="187"/>
      <c r="E8" s="187"/>
      <c r="F8" s="187"/>
      <c r="G8" s="13"/>
      <c r="H8" s="13"/>
      <c r="I8" s="13"/>
      <c r="J8" s="13"/>
      <c r="K8" s="13"/>
      <c r="L8" s="42"/>
      <c r="M8" s="13"/>
      <c r="N8" s="13"/>
      <c r="O8" s="13"/>
      <c r="P8" s="13"/>
      <c r="Q8" s="13"/>
      <c r="R8" s="13"/>
      <c r="S8" s="13"/>
      <c r="T8" s="13"/>
      <c r="U8" s="13"/>
      <c r="V8" s="13"/>
      <c r="W8" s="42"/>
      <c r="X8" s="13"/>
      <c r="Y8" s="166"/>
      <c r="Z8" s="14"/>
      <c r="AB8" s="9"/>
    </row>
    <row r="9" spans="1:28" s="12" customFormat="1" ht="5.25" customHeight="1" x14ac:dyDescent="0.15">
      <c r="A9" s="186" t="s">
        <v>17</v>
      </c>
      <c r="B9" s="187"/>
      <c r="C9" s="187"/>
      <c r="D9" s="187"/>
      <c r="E9" s="187"/>
      <c r="F9" s="187"/>
      <c r="G9" s="13"/>
      <c r="H9" s="13"/>
      <c r="I9" s="13"/>
      <c r="J9" s="13"/>
      <c r="K9" s="13"/>
      <c r="L9" s="42"/>
      <c r="M9" s="13"/>
      <c r="N9" s="13"/>
      <c r="O9" s="13"/>
      <c r="P9" s="13"/>
      <c r="Q9" s="13"/>
      <c r="R9" s="13"/>
      <c r="S9" s="13"/>
      <c r="T9" s="13"/>
      <c r="U9" s="13"/>
      <c r="V9" s="13"/>
      <c r="W9" s="42"/>
      <c r="X9" s="13"/>
      <c r="Y9" s="166"/>
      <c r="Z9" s="14"/>
      <c r="AB9" s="9"/>
    </row>
    <row r="10" spans="1:28" s="15" customFormat="1" ht="12" x14ac:dyDescent="0.15">
      <c r="A10" s="188" t="s">
        <v>18</v>
      </c>
      <c r="B10" s="189"/>
      <c r="C10" s="189"/>
      <c r="D10" s="189"/>
      <c r="E10" s="189"/>
      <c r="F10" s="189"/>
      <c r="G10" s="83">
        <f t="shared" ref="G10:AA10" si="0">SUM(G11)</f>
        <v>0</v>
      </c>
      <c r="H10" s="83">
        <f t="shared" si="0"/>
        <v>0</v>
      </c>
      <c r="I10" s="83">
        <f t="shared" si="0"/>
        <v>0</v>
      </c>
      <c r="J10" s="83">
        <f t="shared" si="0"/>
        <v>0</v>
      </c>
      <c r="K10" s="83">
        <f t="shared" si="0"/>
        <v>0</v>
      </c>
      <c r="L10" s="160">
        <f>SUM(H10+J10+K10)</f>
        <v>0</v>
      </c>
      <c r="M10" s="83">
        <f t="shared" si="0"/>
        <v>0</v>
      </c>
      <c r="N10" s="83">
        <f t="shared" si="0"/>
        <v>0</v>
      </c>
      <c r="O10" s="83">
        <f t="shared" si="0"/>
        <v>0</v>
      </c>
      <c r="P10" s="83">
        <f t="shared" si="0"/>
        <v>0</v>
      </c>
      <c r="Q10" s="83">
        <f t="shared" si="0"/>
        <v>0</v>
      </c>
      <c r="R10" s="83">
        <f t="shared" si="0"/>
        <v>0</v>
      </c>
      <c r="S10" s="83">
        <f t="shared" si="0"/>
        <v>0</v>
      </c>
      <c r="T10" s="83">
        <f t="shared" si="0"/>
        <v>0</v>
      </c>
      <c r="U10" s="83">
        <f t="shared" si="0"/>
        <v>0</v>
      </c>
      <c r="V10" s="83">
        <f t="shared" si="0"/>
        <v>0</v>
      </c>
      <c r="W10" s="160">
        <f>SUM(M10:V10)</f>
        <v>0</v>
      </c>
      <c r="X10" s="83">
        <f t="shared" si="0"/>
        <v>0</v>
      </c>
      <c r="Y10" s="161">
        <f>G10+L10+W10+X10</f>
        <v>0</v>
      </c>
      <c r="Z10" s="84">
        <f>SUM(G10:Y10)</f>
        <v>0</v>
      </c>
      <c r="AA10" s="85">
        <f t="shared" si="0"/>
        <v>0</v>
      </c>
      <c r="AB10" s="86">
        <f>SUM(Z10:AA10)</f>
        <v>0</v>
      </c>
    </row>
    <row r="11" spans="1:28" s="12" customFormat="1" ht="12" x14ac:dyDescent="0.15">
      <c r="A11" s="186" t="s">
        <v>19</v>
      </c>
      <c r="B11" s="187"/>
      <c r="C11" s="187"/>
      <c r="D11" s="187"/>
      <c r="E11" s="187"/>
      <c r="F11" s="187"/>
      <c r="G11" s="39"/>
      <c r="H11" s="39"/>
      <c r="I11" s="39"/>
      <c r="J11" s="39"/>
      <c r="K11" s="39"/>
      <c r="L11" s="160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160">
        <f t="shared" ref="W11:W74" si="1">SUM(M11:V11)</f>
        <v>0</v>
      </c>
      <c r="X11" s="39"/>
      <c r="Y11" s="161">
        <f t="shared" ref="Y11:Y74" si="2">G11+L11+W11+X11</f>
        <v>0</v>
      </c>
      <c r="Z11" s="87">
        <f t="shared" ref="Z11:Z17" si="3">SUM(G11:X11)</f>
        <v>0</v>
      </c>
      <c r="AA11" s="88"/>
      <c r="AB11" s="89">
        <f t="shared" ref="AB11:AB81" si="4">SUM(Z11:AA11)</f>
        <v>0</v>
      </c>
    </row>
    <row r="12" spans="1:28" s="15" customFormat="1" ht="12" x14ac:dyDescent="0.15">
      <c r="A12" s="188" t="s">
        <v>20</v>
      </c>
      <c r="B12" s="189"/>
      <c r="C12" s="189"/>
      <c r="D12" s="189"/>
      <c r="E12" s="189"/>
      <c r="F12" s="189"/>
      <c r="G12" s="83">
        <f>SUM(G13)</f>
        <v>0</v>
      </c>
      <c r="H12" s="83">
        <f t="shared" ref="H12:AA12" si="5">SUM(H13)</f>
        <v>0</v>
      </c>
      <c r="I12" s="83">
        <f t="shared" si="5"/>
        <v>0</v>
      </c>
      <c r="J12" s="83">
        <f t="shared" si="5"/>
        <v>0</v>
      </c>
      <c r="K12" s="83">
        <f t="shared" si="5"/>
        <v>0</v>
      </c>
      <c r="L12" s="160">
        <f t="shared" ref="L12:L75" si="6">SUM(H12+J12+K12)</f>
        <v>0</v>
      </c>
      <c r="M12" s="83">
        <f t="shared" si="5"/>
        <v>0</v>
      </c>
      <c r="N12" s="83">
        <f t="shared" si="5"/>
        <v>0</v>
      </c>
      <c r="O12" s="83">
        <f t="shared" si="5"/>
        <v>0</v>
      </c>
      <c r="P12" s="83">
        <f t="shared" si="5"/>
        <v>0</v>
      </c>
      <c r="Q12" s="83">
        <f t="shared" si="5"/>
        <v>0</v>
      </c>
      <c r="R12" s="83">
        <f t="shared" si="5"/>
        <v>0</v>
      </c>
      <c r="S12" s="83">
        <f t="shared" si="5"/>
        <v>0</v>
      </c>
      <c r="T12" s="83">
        <f t="shared" si="5"/>
        <v>0</v>
      </c>
      <c r="U12" s="83">
        <f t="shared" si="5"/>
        <v>0</v>
      </c>
      <c r="V12" s="83">
        <f t="shared" si="5"/>
        <v>0</v>
      </c>
      <c r="W12" s="160">
        <f t="shared" si="1"/>
        <v>0</v>
      </c>
      <c r="X12" s="83">
        <f t="shared" si="5"/>
        <v>3031140</v>
      </c>
      <c r="Y12" s="161">
        <f>G12+L12+W12+X12</f>
        <v>3031140</v>
      </c>
      <c r="Z12" s="84">
        <f t="shared" si="3"/>
        <v>3031140</v>
      </c>
      <c r="AA12" s="85">
        <f t="shared" si="5"/>
        <v>0</v>
      </c>
      <c r="AB12" s="86">
        <f>SUM(Z12:AA12)</f>
        <v>3031140</v>
      </c>
    </row>
    <row r="13" spans="1:28" s="12" customFormat="1" ht="12" x14ac:dyDescent="0.15">
      <c r="A13" s="186" t="s">
        <v>21</v>
      </c>
      <c r="B13" s="187"/>
      <c r="C13" s="187"/>
      <c r="D13" s="187"/>
      <c r="E13" s="187"/>
      <c r="F13" s="187"/>
      <c r="G13" s="90"/>
      <c r="H13" s="39"/>
      <c r="I13" s="39"/>
      <c r="J13" s="39"/>
      <c r="K13" s="39"/>
      <c r="L13" s="160">
        <f t="shared" si="6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160">
        <f t="shared" si="1"/>
        <v>0</v>
      </c>
      <c r="X13" s="39">
        <v>3031140</v>
      </c>
      <c r="Y13" s="161">
        <f t="shared" si="2"/>
        <v>3031140</v>
      </c>
      <c r="Z13" s="87">
        <f t="shared" si="3"/>
        <v>3031140</v>
      </c>
      <c r="AA13" s="88"/>
      <c r="AB13" s="89">
        <f t="shared" si="4"/>
        <v>3031140</v>
      </c>
    </row>
    <row r="14" spans="1:28" s="15" customFormat="1" ht="12" x14ac:dyDescent="0.15">
      <c r="A14" s="188" t="s">
        <v>22</v>
      </c>
      <c r="B14" s="189"/>
      <c r="C14" s="189"/>
      <c r="D14" s="189"/>
      <c r="E14" s="189"/>
      <c r="F14" s="189"/>
      <c r="G14" s="83">
        <f>SUM(G15:G17)</f>
        <v>4980000</v>
      </c>
      <c r="H14" s="83">
        <f t="shared" ref="H14:AA14" si="7">SUM(H15:H17)</f>
        <v>0</v>
      </c>
      <c r="I14" s="83">
        <f t="shared" si="7"/>
        <v>0</v>
      </c>
      <c r="J14" s="83">
        <f t="shared" si="7"/>
        <v>0</v>
      </c>
      <c r="K14" s="91">
        <f t="shared" si="7"/>
        <v>9080000</v>
      </c>
      <c r="L14" s="160">
        <f t="shared" si="6"/>
        <v>9080000</v>
      </c>
      <c r="M14" s="83">
        <f t="shared" si="7"/>
        <v>0</v>
      </c>
      <c r="N14" s="83">
        <f t="shared" si="7"/>
        <v>0</v>
      </c>
      <c r="O14" s="83">
        <f t="shared" si="7"/>
        <v>0</v>
      </c>
      <c r="P14" s="83">
        <f t="shared" si="7"/>
        <v>0</v>
      </c>
      <c r="Q14" s="83">
        <f t="shared" si="7"/>
        <v>0</v>
      </c>
      <c r="R14" s="83">
        <f t="shared" si="7"/>
        <v>0</v>
      </c>
      <c r="S14" s="83">
        <f t="shared" si="7"/>
        <v>0</v>
      </c>
      <c r="T14" s="83">
        <f t="shared" si="7"/>
        <v>0</v>
      </c>
      <c r="U14" s="83">
        <f t="shared" si="7"/>
        <v>0</v>
      </c>
      <c r="V14" s="83">
        <f t="shared" si="7"/>
        <v>0</v>
      </c>
      <c r="W14" s="160">
        <f t="shared" si="1"/>
        <v>0</v>
      </c>
      <c r="X14" s="83">
        <f t="shared" si="7"/>
        <v>869000</v>
      </c>
      <c r="Y14" s="161">
        <f t="shared" si="2"/>
        <v>14929000</v>
      </c>
      <c r="Z14" s="84">
        <f t="shared" si="3"/>
        <v>24009000</v>
      </c>
      <c r="AA14" s="85">
        <f t="shared" si="7"/>
        <v>0</v>
      </c>
      <c r="AB14" s="86">
        <f t="shared" si="4"/>
        <v>24009000</v>
      </c>
    </row>
    <row r="15" spans="1:28" s="12" customFormat="1" ht="12" x14ac:dyDescent="0.15">
      <c r="A15" s="186" t="s">
        <v>23</v>
      </c>
      <c r="B15" s="187"/>
      <c r="C15" s="187"/>
      <c r="D15" s="187"/>
      <c r="E15" s="187"/>
      <c r="F15" s="187"/>
      <c r="G15" s="39">
        <v>4980000</v>
      </c>
      <c r="H15" s="39"/>
      <c r="I15" s="39"/>
      <c r="J15" s="39"/>
      <c r="K15" s="92">
        <v>0</v>
      </c>
      <c r="L15" s="160">
        <f t="shared" si="6"/>
        <v>0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160">
        <f t="shared" si="1"/>
        <v>0</v>
      </c>
      <c r="X15" s="39">
        <v>0</v>
      </c>
      <c r="Y15" s="161">
        <f t="shared" si="2"/>
        <v>4980000</v>
      </c>
      <c r="Z15" s="87">
        <f t="shared" si="3"/>
        <v>4980000</v>
      </c>
      <c r="AA15" s="88"/>
      <c r="AB15" s="89">
        <f t="shared" si="4"/>
        <v>4980000</v>
      </c>
    </row>
    <row r="16" spans="1:28" s="32" customFormat="1" ht="12" x14ac:dyDescent="0.15">
      <c r="A16" s="200" t="s">
        <v>24</v>
      </c>
      <c r="B16" s="201"/>
      <c r="C16" s="201"/>
      <c r="D16" s="201"/>
      <c r="E16" s="201"/>
      <c r="F16" s="201"/>
      <c r="G16" s="70"/>
      <c r="H16" s="70"/>
      <c r="I16" s="70"/>
      <c r="J16" s="70"/>
      <c r="K16" s="70"/>
      <c r="L16" s="160">
        <f t="shared" si="6"/>
        <v>0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160">
        <f t="shared" si="1"/>
        <v>0</v>
      </c>
      <c r="X16" s="70">
        <v>869000</v>
      </c>
      <c r="Y16" s="161">
        <f t="shared" si="2"/>
        <v>869000</v>
      </c>
      <c r="Z16" s="93">
        <f t="shared" si="3"/>
        <v>869000</v>
      </c>
      <c r="AA16" s="94">
        <v>0</v>
      </c>
      <c r="AB16" s="95">
        <f t="shared" si="4"/>
        <v>869000</v>
      </c>
    </row>
    <row r="17" spans="1:29" s="32" customFormat="1" ht="12" x14ac:dyDescent="0.15">
      <c r="A17" s="200" t="s">
        <v>144</v>
      </c>
      <c r="B17" s="201"/>
      <c r="C17" s="201"/>
      <c r="D17" s="201"/>
      <c r="E17" s="201"/>
      <c r="F17" s="201"/>
      <c r="G17" s="70"/>
      <c r="H17" s="70"/>
      <c r="I17" s="70"/>
      <c r="J17" s="70"/>
      <c r="K17" s="70">
        <v>9080000</v>
      </c>
      <c r="L17" s="160">
        <f t="shared" si="6"/>
        <v>9080000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60">
        <f t="shared" si="1"/>
        <v>0</v>
      </c>
      <c r="X17" s="70"/>
      <c r="Y17" s="161">
        <f t="shared" si="2"/>
        <v>9080000</v>
      </c>
      <c r="Z17" s="93">
        <f t="shared" si="3"/>
        <v>18160000</v>
      </c>
      <c r="AA17" s="94">
        <v>0</v>
      </c>
      <c r="AB17" s="95">
        <f t="shared" si="4"/>
        <v>18160000</v>
      </c>
    </row>
    <row r="18" spans="1:29" s="15" customFormat="1" ht="12" x14ac:dyDescent="0.15">
      <c r="A18" s="188" t="s">
        <v>25</v>
      </c>
      <c r="B18" s="189"/>
      <c r="C18" s="189"/>
      <c r="D18" s="189"/>
      <c r="E18" s="189"/>
      <c r="F18" s="189"/>
      <c r="G18" s="83">
        <f t="shared" ref="G18:AB18" si="8">SUM(G19:G20)</f>
        <v>0</v>
      </c>
      <c r="H18" s="83">
        <f t="shared" si="8"/>
        <v>252500</v>
      </c>
      <c r="I18" s="83">
        <f t="shared" si="8"/>
        <v>0</v>
      </c>
      <c r="J18" s="83">
        <f t="shared" si="8"/>
        <v>2640</v>
      </c>
      <c r="K18" s="83">
        <f t="shared" si="8"/>
        <v>0</v>
      </c>
      <c r="L18" s="160">
        <f t="shared" si="6"/>
        <v>255140</v>
      </c>
      <c r="M18" s="83">
        <f t="shared" si="8"/>
        <v>3759</v>
      </c>
      <c r="N18" s="83">
        <f t="shared" si="8"/>
        <v>0</v>
      </c>
      <c r="O18" s="83">
        <f t="shared" si="8"/>
        <v>64498</v>
      </c>
      <c r="P18" s="83">
        <f t="shared" si="8"/>
        <v>0</v>
      </c>
      <c r="Q18" s="83">
        <f t="shared" si="8"/>
        <v>19910</v>
      </c>
      <c r="R18" s="83">
        <f t="shared" si="8"/>
        <v>2530</v>
      </c>
      <c r="S18" s="83">
        <f t="shared" si="8"/>
        <v>0</v>
      </c>
      <c r="T18" s="83">
        <f t="shared" si="8"/>
        <v>0</v>
      </c>
      <c r="U18" s="83">
        <f t="shared" si="8"/>
        <v>0</v>
      </c>
      <c r="V18" s="83">
        <f t="shared" si="8"/>
        <v>0</v>
      </c>
      <c r="W18" s="160">
        <f t="shared" si="1"/>
        <v>90697</v>
      </c>
      <c r="X18" s="83">
        <f t="shared" si="8"/>
        <v>0</v>
      </c>
      <c r="Y18" s="161">
        <f t="shared" si="2"/>
        <v>345837</v>
      </c>
      <c r="Z18" s="83">
        <f t="shared" si="8"/>
        <v>691674</v>
      </c>
      <c r="AA18" s="83">
        <f t="shared" si="8"/>
        <v>0</v>
      </c>
      <c r="AB18" s="83">
        <f t="shared" si="8"/>
        <v>691674</v>
      </c>
    </row>
    <row r="19" spans="1:29" s="12" customFormat="1" ht="12" x14ac:dyDescent="0.15">
      <c r="A19" s="186" t="s">
        <v>83</v>
      </c>
      <c r="B19" s="187"/>
      <c r="C19" s="187"/>
      <c r="D19" s="187"/>
      <c r="E19" s="187"/>
      <c r="F19" s="187"/>
      <c r="G19" s="39"/>
      <c r="H19" s="96">
        <v>252500</v>
      </c>
      <c r="I19" s="39">
        <v>0</v>
      </c>
      <c r="J19" s="39">
        <v>2640</v>
      </c>
      <c r="K19" s="39"/>
      <c r="L19" s="160">
        <f t="shared" si="6"/>
        <v>255140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160">
        <f t="shared" si="1"/>
        <v>0</v>
      </c>
      <c r="X19" s="39"/>
      <c r="Y19" s="161">
        <f t="shared" si="2"/>
        <v>255140</v>
      </c>
      <c r="Z19" s="87">
        <f>SUM(G19:X19)</f>
        <v>510280</v>
      </c>
      <c r="AA19" s="88"/>
      <c r="AB19" s="89">
        <f>SUM(Z19:AA19)</f>
        <v>510280</v>
      </c>
    </row>
    <row r="20" spans="1:29" s="12" customFormat="1" ht="12" x14ac:dyDescent="0.15">
      <c r="A20" s="186" t="s">
        <v>26</v>
      </c>
      <c r="B20" s="187"/>
      <c r="C20" s="187"/>
      <c r="D20" s="187"/>
      <c r="E20" s="187"/>
      <c r="F20" s="187"/>
      <c r="G20" s="39">
        <f>SUM(G21:G22)</f>
        <v>0</v>
      </c>
      <c r="H20" s="39">
        <f t="shared" ref="H20:X20" si="9">SUM(H21:H22)</f>
        <v>0</v>
      </c>
      <c r="I20" s="39">
        <f t="shared" si="9"/>
        <v>0</v>
      </c>
      <c r="J20" s="39">
        <f t="shared" si="9"/>
        <v>0</v>
      </c>
      <c r="K20" s="39">
        <f t="shared" si="9"/>
        <v>0</v>
      </c>
      <c r="L20" s="160">
        <f t="shared" si="6"/>
        <v>0</v>
      </c>
      <c r="M20" s="39">
        <v>3759</v>
      </c>
      <c r="N20" s="39"/>
      <c r="O20" s="96">
        <v>64498</v>
      </c>
      <c r="P20" s="96">
        <f t="shared" si="9"/>
        <v>0</v>
      </c>
      <c r="Q20" s="96">
        <v>19910</v>
      </c>
      <c r="R20" s="96">
        <v>2530</v>
      </c>
      <c r="S20" s="39">
        <f t="shared" si="9"/>
        <v>0</v>
      </c>
      <c r="T20" s="39">
        <f t="shared" si="9"/>
        <v>0</v>
      </c>
      <c r="U20" s="39">
        <f t="shared" si="9"/>
        <v>0</v>
      </c>
      <c r="V20" s="39">
        <f t="shared" si="9"/>
        <v>0</v>
      </c>
      <c r="W20" s="160">
        <f t="shared" si="1"/>
        <v>90697</v>
      </c>
      <c r="X20" s="39">
        <f t="shared" si="9"/>
        <v>0</v>
      </c>
      <c r="Y20" s="161">
        <f t="shared" si="2"/>
        <v>90697</v>
      </c>
      <c r="Z20" s="87">
        <f>SUM(G20:X20)</f>
        <v>181394</v>
      </c>
      <c r="AA20" s="39"/>
      <c r="AB20" s="89">
        <f>SUM(Z20:AA20)</f>
        <v>181394</v>
      </c>
    </row>
    <row r="21" spans="1:29" s="12" customFormat="1" ht="2.25" customHeight="1" x14ac:dyDescent="0.15">
      <c r="A21" s="144"/>
      <c r="B21" s="145"/>
      <c r="C21" s="145" t="s">
        <v>84</v>
      </c>
      <c r="D21" s="145"/>
      <c r="E21" s="145"/>
      <c r="F21" s="145"/>
      <c r="G21" s="39"/>
      <c r="H21" s="39"/>
      <c r="I21" s="39"/>
      <c r="J21" s="39"/>
      <c r="K21" s="39"/>
      <c r="L21" s="160">
        <f t="shared" si="6"/>
        <v>0</v>
      </c>
      <c r="M21" s="39"/>
      <c r="N21" s="39"/>
      <c r="O21" s="39"/>
      <c r="P21" s="39"/>
      <c r="Q21" s="39"/>
      <c r="R21" s="39"/>
      <c r="S21" s="39"/>
      <c r="T21" s="97"/>
      <c r="U21" s="97"/>
      <c r="V21" s="97"/>
      <c r="W21" s="160">
        <f t="shared" si="1"/>
        <v>0</v>
      </c>
      <c r="X21" s="39"/>
      <c r="Y21" s="161">
        <f t="shared" si="2"/>
        <v>0</v>
      </c>
      <c r="Z21" s="87">
        <f>SUM(G21:X21)</f>
        <v>0</v>
      </c>
      <c r="AA21" s="88"/>
      <c r="AB21" s="89">
        <f t="shared" ref="AB21" si="10">SUM(Z21:AA21)</f>
        <v>0</v>
      </c>
    </row>
    <row r="22" spans="1:29" s="18" customFormat="1" ht="2.25" customHeight="1" x14ac:dyDescent="0.15">
      <c r="A22" s="16"/>
      <c r="B22" s="17"/>
      <c r="C22" s="17" t="s">
        <v>85</v>
      </c>
      <c r="D22" s="17"/>
      <c r="E22" s="17"/>
      <c r="F22" s="17"/>
      <c r="G22" s="98"/>
      <c r="H22" s="98"/>
      <c r="I22" s="98"/>
      <c r="J22" s="98"/>
      <c r="K22" s="98"/>
      <c r="L22" s="160">
        <f t="shared" si="6"/>
        <v>0</v>
      </c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160">
        <f t="shared" si="1"/>
        <v>0</v>
      </c>
      <c r="X22" s="98"/>
      <c r="Y22" s="161">
        <f t="shared" si="2"/>
        <v>0</v>
      </c>
      <c r="Z22" s="99">
        <f>SUM(G22:X22)</f>
        <v>0</v>
      </c>
      <c r="AA22" s="100"/>
      <c r="AB22" s="101">
        <f t="shared" si="4"/>
        <v>0</v>
      </c>
    </row>
    <row r="23" spans="1:29" s="15" customFormat="1" ht="12" x14ac:dyDescent="0.15">
      <c r="A23" s="188" t="s">
        <v>27</v>
      </c>
      <c r="B23" s="189"/>
      <c r="C23" s="189"/>
      <c r="D23" s="189"/>
      <c r="E23" s="189"/>
      <c r="F23" s="189"/>
      <c r="G23" s="83">
        <f>SUM(G24:G25)</f>
        <v>30000</v>
      </c>
      <c r="H23" s="83">
        <f t="shared" ref="H23:AA23" si="11">SUM(H24:H25)</f>
        <v>0</v>
      </c>
      <c r="I23" s="83">
        <f t="shared" si="11"/>
        <v>0</v>
      </c>
      <c r="J23" s="83">
        <f t="shared" si="11"/>
        <v>0</v>
      </c>
      <c r="K23" s="83">
        <f t="shared" si="11"/>
        <v>0</v>
      </c>
      <c r="L23" s="160">
        <f t="shared" si="6"/>
        <v>0</v>
      </c>
      <c r="M23" s="83">
        <f t="shared" si="11"/>
        <v>0</v>
      </c>
      <c r="N23" s="83">
        <f t="shared" si="11"/>
        <v>0</v>
      </c>
      <c r="O23" s="83">
        <f t="shared" si="11"/>
        <v>0</v>
      </c>
      <c r="P23" s="83">
        <f t="shared" si="11"/>
        <v>0</v>
      </c>
      <c r="Q23" s="83">
        <f t="shared" si="11"/>
        <v>0</v>
      </c>
      <c r="R23" s="83">
        <f t="shared" si="11"/>
        <v>0</v>
      </c>
      <c r="S23" s="83">
        <f t="shared" si="11"/>
        <v>0</v>
      </c>
      <c r="T23" s="83">
        <f t="shared" si="11"/>
        <v>0</v>
      </c>
      <c r="U23" s="83">
        <f t="shared" si="11"/>
        <v>0</v>
      </c>
      <c r="V23" s="83">
        <f t="shared" si="11"/>
        <v>0</v>
      </c>
      <c r="W23" s="160">
        <f t="shared" si="1"/>
        <v>0</v>
      </c>
      <c r="X23" s="83">
        <f>SUM(X24:X25)</f>
        <v>297</v>
      </c>
      <c r="Y23" s="161">
        <f t="shared" si="2"/>
        <v>30297</v>
      </c>
      <c r="Z23" s="84">
        <f t="shared" ref="Z23:Z25" si="12">SUM(G23:X23)</f>
        <v>30297</v>
      </c>
      <c r="AA23" s="83">
        <f t="shared" si="11"/>
        <v>0</v>
      </c>
      <c r="AB23" s="86">
        <f t="shared" si="4"/>
        <v>30297</v>
      </c>
    </row>
    <row r="24" spans="1:29" s="12" customFormat="1" ht="12" x14ac:dyDescent="0.15">
      <c r="A24" s="186" t="s">
        <v>88</v>
      </c>
      <c r="B24" s="187"/>
      <c r="C24" s="187"/>
      <c r="D24" s="187"/>
      <c r="E24" s="187"/>
      <c r="F24" s="187"/>
      <c r="G24" s="39">
        <v>30000</v>
      </c>
      <c r="H24" s="39"/>
      <c r="I24" s="39"/>
      <c r="J24" s="39"/>
      <c r="K24" s="39"/>
      <c r="L24" s="160">
        <f t="shared" si="6"/>
        <v>0</v>
      </c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160">
        <f t="shared" si="1"/>
        <v>0</v>
      </c>
      <c r="X24" s="39"/>
      <c r="Y24" s="161">
        <f t="shared" si="2"/>
        <v>30000</v>
      </c>
      <c r="Z24" s="87">
        <f t="shared" si="12"/>
        <v>30000</v>
      </c>
      <c r="AA24" s="88"/>
      <c r="AB24" s="89">
        <f t="shared" si="4"/>
        <v>30000</v>
      </c>
      <c r="AC24" s="12" t="s">
        <v>156</v>
      </c>
    </row>
    <row r="25" spans="1:29" s="12" customFormat="1" ht="12" x14ac:dyDescent="0.15">
      <c r="A25" s="186" t="s">
        <v>28</v>
      </c>
      <c r="B25" s="187"/>
      <c r="C25" s="187"/>
      <c r="D25" s="187"/>
      <c r="E25" s="187"/>
      <c r="F25" s="187"/>
      <c r="G25" s="39"/>
      <c r="H25" s="39"/>
      <c r="I25" s="39"/>
      <c r="J25" s="39"/>
      <c r="K25" s="39"/>
      <c r="L25" s="160">
        <f t="shared" si="6"/>
        <v>0</v>
      </c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160">
        <f t="shared" si="1"/>
        <v>0</v>
      </c>
      <c r="X25" s="39">
        <v>297</v>
      </c>
      <c r="Y25" s="161">
        <f t="shared" si="2"/>
        <v>297</v>
      </c>
      <c r="Z25" s="87">
        <f t="shared" si="12"/>
        <v>297</v>
      </c>
      <c r="AA25" s="88"/>
      <c r="AB25" s="102">
        <f t="shared" si="4"/>
        <v>297</v>
      </c>
      <c r="AC25" s="12" t="s">
        <v>157</v>
      </c>
    </row>
    <row r="26" spans="1:29" s="12" customFormat="1" ht="12" x14ac:dyDescent="0.15">
      <c r="A26" s="186" t="s">
        <v>29</v>
      </c>
      <c r="B26" s="187"/>
      <c r="C26" s="187"/>
      <c r="D26" s="187"/>
      <c r="E26" s="187"/>
      <c r="F26" s="187"/>
      <c r="G26" s="72">
        <f t="shared" ref="G26:AB26" si="13">SUM(G10+G12+G14+G18+G23)</f>
        <v>5010000</v>
      </c>
      <c r="H26" s="72">
        <f t="shared" si="13"/>
        <v>252500</v>
      </c>
      <c r="I26" s="72">
        <f t="shared" si="13"/>
        <v>0</v>
      </c>
      <c r="J26" s="72">
        <f t="shared" si="13"/>
        <v>2640</v>
      </c>
      <c r="K26" s="103">
        <f t="shared" si="13"/>
        <v>9080000</v>
      </c>
      <c r="L26" s="168">
        <f t="shared" si="6"/>
        <v>9335140</v>
      </c>
      <c r="M26" s="72">
        <f t="shared" si="13"/>
        <v>3759</v>
      </c>
      <c r="N26" s="72">
        <f t="shared" si="13"/>
        <v>0</v>
      </c>
      <c r="O26" s="72">
        <f t="shared" si="13"/>
        <v>64498</v>
      </c>
      <c r="P26" s="72">
        <f t="shared" si="13"/>
        <v>0</v>
      </c>
      <c r="Q26" s="72">
        <f t="shared" si="13"/>
        <v>19910</v>
      </c>
      <c r="R26" s="72">
        <f t="shared" si="13"/>
        <v>2530</v>
      </c>
      <c r="S26" s="72">
        <f t="shared" si="13"/>
        <v>0</v>
      </c>
      <c r="T26" s="72">
        <f t="shared" si="13"/>
        <v>0</v>
      </c>
      <c r="U26" s="72">
        <f t="shared" si="13"/>
        <v>0</v>
      </c>
      <c r="V26" s="72">
        <f t="shared" si="13"/>
        <v>0</v>
      </c>
      <c r="W26" s="168">
        <f t="shared" si="1"/>
        <v>90697</v>
      </c>
      <c r="X26" s="72">
        <f t="shared" si="13"/>
        <v>3900437</v>
      </c>
      <c r="Y26" s="169">
        <f t="shared" si="2"/>
        <v>18336274</v>
      </c>
      <c r="Z26" s="72">
        <f t="shared" si="13"/>
        <v>27762111</v>
      </c>
      <c r="AA26" s="72">
        <f t="shared" si="13"/>
        <v>0</v>
      </c>
      <c r="AB26" s="72">
        <f t="shared" si="13"/>
        <v>27762111</v>
      </c>
    </row>
    <row r="27" spans="1:29" s="12" customFormat="1" ht="6" customHeight="1" x14ac:dyDescent="0.15">
      <c r="A27" s="186" t="s">
        <v>30</v>
      </c>
      <c r="B27" s="187"/>
      <c r="C27" s="187"/>
      <c r="D27" s="187"/>
      <c r="E27" s="187"/>
      <c r="F27" s="187"/>
      <c r="G27" s="104"/>
      <c r="H27" s="104"/>
      <c r="I27" s="104"/>
      <c r="J27" s="104"/>
      <c r="K27" s="104"/>
      <c r="L27" s="160">
        <f t="shared" si="6"/>
        <v>0</v>
      </c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0">
        <f t="shared" si="1"/>
        <v>0</v>
      </c>
      <c r="X27" s="167"/>
      <c r="Y27" s="161">
        <f t="shared" si="2"/>
        <v>0</v>
      </c>
      <c r="Z27" s="105"/>
      <c r="AA27" s="104"/>
      <c r="AB27" s="106">
        <f t="shared" si="4"/>
        <v>0</v>
      </c>
    </row>
    <row r="28" spans="1:29" s="33" customFormat="1" ht="12" x14ac:dyDescent="0.15">
      <c r="A28" s="150"/>
      <c r="B28" s="151"/>
      <c r="C28" s="151" t="s">
        <v>103</v>
      </c>
      <c r="D28" s="151"/>
      <c r="E28" s="151"/>
      <c r="F28" s="151"/>
      <c r="G28" s="107">
        <v>77.400000000000006</v>
      </c>
      <c r="H28" s="107">
        <v>3.45</v>
      </c>
      <c r="I28" s="107">
        <v>0</v>
      </c>
      <c r="J28" s="107">
        <v>0.05</v>
      </c>
      <c r="K28" s="107">
        <v>0.5</v>
      </c>
      <c r="L28" s="160">
        <f t="shared" si="6"/>
        <v>4</v>
      </c>
      <c r="M28" s="107">
        <v>1</v>
      </c>
      <c r="N28" s="107">
        <v>0.7</v>
      </c>
      <c r="O28" s="107"/>
      <c r="P28" s="107"/>
      <c r="Q28" s="107">
        <v>0.9</v>
      </c>
      <c r="R28" s="107">
        <v>1</v>
      </c>
      <c r="S28" s="107"/>
      <c r="T28" s="107"/>
      <c r="U28" s="107"/>
      <c r="V28" s="107"/>
      <c r="W28" s="160">
        <f t="shared" si="1"/>
        <v>3.6</v>
      </c>
      <c r="X28" s="107">
        <v>15</v>
      </c>
      <c r="Y28" s="161">
        <f t="shared" si="2"/>
        <v>100</v>
      </c>
      <c r="Z28" s="108"/>
      <c r="AA28" s="107"/>
      <c r="AB28" s="109"/>
    </row>
    <row r="29" spans="1:29" s="22" customFormat="1" ht="12" x14ac:dyDescent="0.15">
      <c r="A29" s="152"/>
      <c r="B29" s="153"/>
      <c r="C29" s="153" t="s">
        <v>104</v>
      </c>
      <c r="D29" s="153"/>
      <c r="E29" s="153"/>
      <c r="F29" s="153"/>
      <c r="G29" s="110">
        <v>95.1</v>
      </c>
      <c r="H29" s="110">
        <v>0.79</v>
      </c>
      <c r="I29" s="110"/>
      <c r="J29" s="110">
        <v>0.01</v>
      </c>
      <c r="K29" s="110"/>
      <c r="L29" s="160">
        <f t="shared" si="6"/>
        <v>0.8</v>
      </c>
      <c r="M29" s="110">
        <v>0.35</v>
      </c>
      <c r="N29" s="110">
        <v>0.15</v>
      </c>
      <c r="O29" s="110"/>
      <c r="P29" s="110"/>
      <c r="Q29" s="110">
        <v>0.2</v>
      </c>
      <c r="R29" s="110">
        <v>0.4</v>
      </c>
      <c r="S29" s="110"/>
      <c r="T29" s="110"/>
      <c r="U29" s="110"/>
      <c r="V29" s="110"/>
      <c r="W29" s="160">
        <f t="shared" si="1"/>
        <v>1.1000000000000001</v>
      </c>
      <c r="X29" s="110">
        <v>3</v>
      </c>
      <c r="Y29" s="161">
        <f t="shared" si="2"/>
        <v>99.999999999999986</v>
      </c>
      <c r="Z29" s="111"/>
      <c r="AA29" s="110"/>
      <c r="AB29" s="112"/>
    </row>
    <row r="30" spans="1:29" s="15" customFormat="1" ht="12" x14ac:dyDescent="0.15">
      <c r="A30" s="148"/>
      <c r="B30" s="149"/>
      <c r="C30" s="149" t="s">
        <v>94</v>
      </c>
      <c r="D30" s="149" t="s">
        <v>146</v>
      </c>
      <c r="E30" s="149"/>
      <c r="F30" s="149"/>
      <c r="G30" s="113">
        <f>G33/5489414*100</f>
        <v>84.388479353169572</v>
      </c>
      <c r="H30" s="113">
        <f t="shared" ref="H30:Z30" si="14">H33/5489414*100</f>
        <v>2.3997643464311489</v>
      </c>
      <c r="I30" s="113">
        <f t="shared" si="14"/>
        <v>0</v>
      </c>
      <c r="J30" s="113">
        <f t="shared" si="14"/>
        <v>3.4211301971394395E-2</v>
      </c>
      <c r="K30" s="113">
        <f t="shared" si="14"/>
        <v>0.30258238857553832</v>
      </c>
      <c r="L30" s="160">
        <f t="shared" si="6"/>
        <v>2.7365580369780815</v>
      </c>
      <c r="M30" s="113">
        <f t="shared" si="14"/>
        <v>0.74335803420911595</v>
      </c>
      <c r="N30" s="113">
        <f t="shared" si="14"/>
        <v>0.48283842319052639</v>
      </c>
      <c r="O30" s="113">
        <f t="shared" si="14"/>
        <v>0</v>
      </c>
      <c r="P30" s="113">
        <f t="shared" si="14"/>
        <v>0</v>
      </c>
      <c r="Q30" s="113">
        <f t="shared" si="14"/>
        <v>0.62360026042852656</v>
      </c>
      <c r="R30" s="113">
        <f t="shared" si="14"/>
        <v>0.76310513289760984</v>
      </c>
      <c r="S30" s="113">
        <f t="shared" si="14"/>
        <v>0</v>
      </c>
      <c r="T30" s="113">
        <f t="shared" si="14"/>
        <v>0</v>
      </c>
      <c r="U30" s="113">
        <f t="shared" si="14"/>
        <v>0</v>
      </c>
      <c r="V30" s="113">
        <f t="shared" si="14"/>
        <v>0</v>
      </c>
      <c r="W30" s="160">
        <f t="shared" si="1"/>
        <v>2.6129018507257786</v>
      </c>
      <c r="X30" s="113">
        <f t="shared" si="14"/>
        <v>10.262060759126566</v>
      </c>
      <c r="Y30" s="161">
        <f t="shared" si="2"/>
        <v>100</v>
      </c>
      <c r="Z30" s="113">
        <f t="shared" si="14"/>
        <v>105.34945988770386</v>
      </c>
      <c r="AA30" s="114" t="s">
        <v>108</v>
      </c>
      <c r="AB30" s="115"/>
    </row>
    <row r="31" spans="1:29" s="37" customFormat="1" ht="12" x14ac:dyDescent="0.15">
      <c r="A31" s="73"/>
      <c r="B31" s="74"/>
      <c r="C31" s="74"/>
      <c r="D31" s="74"/>
      <c r="E31" s="74"/>
      <c r="F31" s="74"/>
      <c r="G31" s="116">
        <f>G26/9191776*100</f>
        <v>54.505244688295271</v>
      </c>
      <c r="H31" s="116">
        <f t="shared" ref="H31:X31" si="15">H26/9191776*100</f>
        <v>2.7470208151286544</v>
      </c>
      <c r="I31" s="116">
        <f t="shared" si="15"/>
        <v>0</v>
      </c>
      <c r="J31" s="116">
        <f t="shared" si="15"/>
        <v>2.8721326542335234E-2</v>
      </c>
      <c r="K31" s="116">
        <f t="shared" si="15"/>
        <v>98.783956441062088</v>
      </c>
      <c r="L31" s="160">
        <f t="shared" si="6"/>
        <v>101.55969858273308</v>
      </c>
      <c r="M31" s="116">
        <f t="shared" si="15"/>
        <v>4.0895252451756875E-2</v>
      </c>
      <c r="N31" s="116">
        <f t="shared" si="15"/>
        <v>0</v>
      </c>
      <c r="O31" s="116">
        <f t="shared" si="15"/>
        <v>0.70169246944224928</v>
      </c>
      <c r="P31" s="116">
        <f t="shared" si="15"/>
        <v>0</v>
      </c>
      <c r="Q31" s="116">
        <f t="shared" si="15"/>
        <v>0.21660667100677822</v>
      </c>
      <c r="R31" s="116">
        <f t="shared" si="15"/>
        <v>2.7524604603071264E-2</v>
      </c>
      <c r="S31" s="116">
        <f t="shared" si="15"/>
        <v>0</v>
      </c>
      <c r="T31" s="116">
        <f t="shared" si="15"/>
        <v>0</v>
      </c>
      <c r="U31" s="116">
        <f t="shared" si="15"/>
        <v>0</v>
      </c>
      <c r="V31" s="116">
        <f t="shared" si="15"/>
        <v>0</v>
      </c>
      <c r="W31" s="160">
        <f t="shared" si="1"/>
        <v>0.98671899750385561</v>
      </c>
      <c r="X31" s="116">
        <f t="shared" si="15"/>
        <v>42.433986641972126</v>
      </c>
      <c r="Y31" s="161">
        <f t="shared" si="2"/>
        <v>199.48564891050432</v>
      </c>
      <c r="Z31" s="116">
        <f>SUM(G31:X31)</f>
        <v>302.03206649074127</v>
      </c>
      <c r="AA31" s="117">
        <v>8118200</v>
      </c>
      <c r="AB31" s="118"/>
    </row>
    <row r="32" spans="1:29" s="75" customFormat="1" ht="12" x14ac:dyDescent="0.15">
      <c r="A32" s="146"/>
      <c r="B32" s="147"/>
      <c r="C32" s="147" t="s">
        <v>95</v>
      </c>
      <c r="D32" s="147"/>
      <c r="E32" s="147"/>
      <c r="F32" s="147"/>
      <c r="G32" s="119">
        <v>54.505244688295271</v>
      </c>
      <c r="H32" s="119">
        <v>2.7470208151286544</v>
      </c>
      <c r="I32" s="119">
        <v>0</v>
      </c>
      <c r="J32" s="119">
        <v>2.8721326542335234E-2</v>
      </c>
      <c r="K32" s="119">
        <v>0</v>
      </c>
      <c r="L32" s="160">
        <f t="shared" si="6"/>
        <v>2.7757421416709898</v>
      </c>
      <c r="M32" s="119">
        <v>4.0895252451756875E-2</v>
      </c>
      <c r="N32" s="119">
        <v>0</v>
      </c>
      <c r="O32" s="119">
        <v>0</v>
      </c>
      <c r="P32" s="119">
        <v>0</v>
      </c>
      <c r="Q32" s="119">
        <v>0.21660667100677822</v>
      </c>
      <c r="R32" s="119">
        <v>2.7524604603071264E-2</v>
      </c>
      <c r="S32" s="119">
        <v>0</v>
      </c>
      <c r="T32" s="119">
        <v>0</v>
      </c>
      <c r="U32" s="119">
        <v>0</v>
      </c>
      <c r="V32" s="119">
        <v>0</v>
      </c>
      <c r="W32" s="160">
        <f t="shared" si="1"/>
        <v>0.28502652806160633</v>
      </c>
      <c r="X32" s="119">
        <v>42.433986641972126</v>
      </c>
      <c r="Y32" s="161">
        <f t="shared" si="2"/>
        <v>100</v>
      </c>
      <c r="Z32" s="120">
        <f>SUM(G32:X32)</f>
        <v>103.0607686697326</v>
      </c>
      <c r="AA32" s="121">
        <f>SUM(AA31-Z34)</f>
        <v>-19621816</v>
      </c>
      <c r="AB32" s="122"/>
    </row>
    <row r="33" spans="1:29" s="36" customFormat="1" ht="12" x14ac:dyDescent="0.15">
      <c r="A33" s="34"/>
      <c r="B33" s="35"/>
      <c r="C33" s="35" t="s">
        <v>105</v>
      </c>
      <c r="D33" s="35"/>
      <c r="E33" s="35"/>
      <c r="F33" s="35"/>
      <c r="G33" s="123">
        <f>SUM(G35:G36)</f>
        <v>4632433</v>
      </c>
      <c r="H33" s="123">
        <f t="shared" ref="H33:Z33" si="16">SUM(H35:H36)</f>
        <v>131733</v>
      </c>
      <c r="I33" s="123">
        <f t="shared" si="16"/>
        <v>0</v>
      </c>
      <c r="J33" s="123">
        <f t="shared" si="16"/>
        <v>1878</v>
      </c>
      <c r="K33" s="123">
        <f t="shared" si="16"/>
        <v>16610</v>
      </c>
      <c r="L33" s="160">
        <f t="shared" si="6"/>
        <v>150221</v>
      </c>
      <c r="M33" s="123">
        <f t="shared" si="16"/>
        <v>40806</v>
      </c>
      <c r="N33" s="123">
        <f t="shared" si="16"/>
        <v>26505</v>
      </c>
      <c r="O33" s="123">
        <f t="shared" si="16"/>
        <v>0</v>
      </c>
      <c r="P33" s="123">
        <f t="shared" si="16"/>
        <v>0</v>
      </c>
      <c r="Q33" s="123">
        <f t="shared" si="16"/>
        <v>34232</v>
      </c>
      <c r="R33" s="123">
        <f t="shared" si="16"/>
        <v>41890</v>
      </c>
      <c r="S33" s="123">
        <f t="shared" si="16"/>
        <v>0</v>
      </c>
      <c r="T33" s="123">
        <f t="shared" si="16"/>
        <v>0</v>
      </c>
      <c r="U33" s="123">
        <f t="shared" si="16"/>
        <v>0</v>
      </c>
      <c r="V33" s="123">
        <f t="shared" si="16"/>
        <v>0</v>
      </c>
      <c r="W33" s="160">
        <f t="shared" si="1"/>
        <v>143433</v>
      </c>
      <c r="X33" s="123">
        <f t="shared" si="16"/>
        <v>563327</v>
      </c>
      <c r="Y33" s="161">
        <f t="shared" si="2"/>
        <v>5489414</v>
      </c>
      <c r="Z33" s="123">
        <f t="shared" si="16"/>
        <v>5783068</v>
      </c>
      <c r="AA33" s="124"/>
      <c r="AB33" s="125"/>
    </row>
    <row r="34" spans="1:29" s="12" customFormat="1" ht="12" x14ac:dyDescent="0.15">
      <c r="A34" s="186" t="s">
        <v>31</v>
      </c>
      <c r="B34" s="187"/>
      <c r="C34" s="187"/>
      <c r="D34" s="187"/>
      <c r="E34" s="187"/>
      <c r="F34" s="187"/>
      <c r="G34" s="39">
        <f>G35+G36+G40+G41+G42+G48+G49+G53+G59+G62+G63+G69+G70+G74+G75+G78+G79+G81+G77+G58</f>
        <v>6727798</v>
      </c>
      <c r="H34" s="39">
        <f t="shared" ref="H34:AA34" si="17">H35+H36+H40+H41+H42+H48+H49+H53+H59+H62+H63+H69+H70+H74+H75+H78+H79+H81+H77+H58</f>
        <v>277782</v>
      </c>
      <c r="I34" s="39">
        <f t="shared" si="17"/>
        <v>0</v>
      </c>
      <c r="J34" s="39">
        <f t="shared" si="17"/>
        <v>3551</v>
      </c>
      <c r="K34" s="39">
        <f>K35+K36+K40+K41+K42+K48+K49+K53+K59+K62+K63+K69+K70+K74+K75+K78+K79+K81+K77+K58+K80</f>
        <v>9118831</v>
      </c>
      <c r="L34" s="160">
        <f t="shared" si="6"/>
        <v>9400164</v>
      </c>
      <c r="M34" s="39">
        <f t="shared" si="17"/>
        <v>58289</v>
      </c>
      <c r="N34" s="39">
        <f t="shared" si="17"/>
        <v>36699</v>
      </c>
      <c r="O34" s="39">
        <f t="shared" si="17"/>
        <v>64498</v>
      </c>
      <c r="P34" s="39">
        <f t="shared" si="17"/>
        <v>0</v>
      </c>
      <c r="Q34" s="39">
        <f t="shared" si="17"/>
        <v>48341</v>
      </c>
      <c r="R34" s="39">
        <f t="shared" si="17"/>
        <v>63720</v>
      </c>
      <c r="S34" s="39">
        <f t="shared" si="17"/>
        <v>0</v>
      </c>
      <c r="T34" s="39">
        <f t="shared" si="17"/>
        <v>140</v>
      </c>
      <c r="U34" s="39">
        <f t="shared" si="17"/>
        <v>82</v>
      </c>
      <c r="V34" s="39">
        <f t="shared" si="17"/>
        <v>3998</v>
      </c>
      <c r="W34" s="160">
        <f t="shared" si="1"/>
        <v>275767</v>
      </c>
      <c r="X34" s="39">
        <f>X35+X36+X40+X41+X42+X48+X49+X53+X59+X62+X63+X69+X70+X74+X75+X78+X79+X81+X77+X58</f>
        <v>1660356</v>
      </c>
      <c r="Y34" s="161">
        <f t="shared" si="2"/>
        <v>18064085</v>
      </c>
      <c r="Z34" s="39">
        <f>Z35+Z36+Z40+Z41+Z42+Z48+Z49+Z53+Z59+Z62+Z63+Z69+Z70+Z74+Z75+Z78+Z79+Z81+Z77+Z58+Z80</f>
        <v>27740016</v>
      </c>
      <c r="AA34" s="39">
        <f t="shared" si="17"/>
        <v>8111396</v>
      </c>
      <c r="AB34" s="126">
        <f t="shared" si="4"/>
        <v>35851412</v>
      </c>
    </row>
    <row r="35" spans="1:29" s="20" customFormat="1" ht="12" x14ac:dyDescent="0.15">
      <c r="A35" s="194" t="s">
        <v>47</v>
      </c>
      <c r="B35" s="195"/>
      <c r="C35" s="195"/>
      <c r="D35" s="195"/>
      <c r="E35" s="195"/>
      <c r="F35" s="195"/>
      <c r="G35" s="71">
        <v>2571251</v>
      </c>
      <c r="H35" s="71">
        <v>114611</v>
      </c>
      <c r="I35" s="71">
        <f t="shared" ref="I35:V35" si="18">3322030*I28/100</f>
        <v>0</v>
      </c>
      <c r="J35" s="71">
        <v>1661</v>
      </c>
      <c r="K35" s="71">
        <v>16610</v>
      </c>
      <c r="L35" s="160">
        <f t="shared" si="6"/>
        <v>132882</v>
      </c>
      <c r="M35" s="71">
        <v>33220</v>
      </c>
      <c r="N35" s="71">
        <v>23254</v>
      </c>
      <c r="O35" s="71">
        <f t="shared" si="18"/>
        <v>0</v>
      </c>
      <c r="P35" s="71">
        <f t="shared" si="18"/>
        <v>0</v>
      </c>
      <c r="Q35" s="71">
        <v>29898</v>
      </c>
      <c r="R35" s="71">
        <v>33220</v>
      </c>
      <c r="S35" s="71">
        <f t="shared" si="18"/>
        <v>0</v>
      </c>
      <c r="T35" s="71">
        <f t="shared" si="18"/>
        <v>0</v>
      </c>
      <c r="U35" s="71">
        <f t="shared" si="18"/>
        <v>0</v>
      </c>
      <c r="V35" s="71">
        <f t="shared" si="18"/>
        <v>0</v>
      </c>
      <c r="W35" s="160">
        <f t="shared" si="1"/>
        <v>119592</v>
      </c>
      <c r="X35" s="71">
        <v>498305</v>
      </c>
      <c r="Y35" s="161">
        <f t="shared" si="2"/>
        <v>3322030</v>
      </c>
      <c r="Z35" s="127">
        <f t="shared" ref="Z35:Z81" si="19">SUM(G35:X35)</f>
        <v>3574504</v>
      </c>
      <c r="AA35" s="71">
        <v>3322030</v>
      </c>
      <c r="AB35" s="128">
        <f>SUM(Z35:AA35)</f>
        <v>6896534</v>
      </c>
    </row>
    <row r="36" spans="1:29" s="20" customFormat="1" ht="12" x14ac:dyDescent="0.15">
      <c r="A36" s="190" t="s">
        <v>48</v>
      </c>
      <c r="B36" s="191"/>
      <c r="C36" s="191"/>
      <c r="D36" s="191"/>
      <c r="E36" s="191"/>
      <c r="F36" s="191"/>
      <c r="G36" s="71">
        <f>SUM(G37:G39)</f>
        <v>2061182</v>
      </c>
      <c r="H36" s="71">
        <f t="shared" ref="H36:AA36" si="20">SUM(H37:H39)</f>
        <v>17122</v>
      </c>
      <c r="I36" s="71">
        <f t="shared" si="20"/>
        <v>0</v>
      </c>
      <c r="J36" s="71">
        <f t="shared" si="20"/>
        <v>217</v>
      </c>
      <c r="K36" s="71">
        <f t="shared" si="20"/>
        <v>0</v>
      </c>
      <c r="L36" s="160">
        <f t="shared" si="6"/>
        <v>17339</v>
      </c>
      <c r="M36" s="71">
        <f t="shared" si="20"/>
        <v>7586</v>
      </c>
      <c r="N36" s="71">
        <f t="shared" si="20"/>
        <v>3251</v>
      </c>
      <c r="O36" s="71">
        <f t="shared" si="20"/>
        <v>0</v>
      </c>
      <c r="P36" s="71">
        <f t="shared" si="20"/>
        <v>0</v>
      </c>
      <c r="Q36" s="71">
        <f t="shared" si="20"/>
        <v>4334</v>
      </c>
      <c r="R36" s="71">
        <f t="shared" si="20"/>
        <v>8670</v>
      </c>
      <c r="S36" s="71">
        <f t="shared" si="20"/>
        <v>0</v>
      </c>
      <c r="T36" s="71">
        <f t="shared" si="20"/>
        <v>0</v>
      </c>
      <c r="U36" s="71">
        <f t="shared" si="20"/>
        <v>0</v>
      </c>
      <c r="V36" s="71">
        <f t="shared" si="20"/>
        <v>0</v>
      </c>
      <c r="W36" s="160">
        <f t="shared" si="1"/>
        <v>23841</v>
      </c>
      <c r="X36" s="71">
        <f t="shared" si="20"/>
        <v>65022</v>
      </c>
      <c r="Y36" s="161">
        <f t="shared" si="2"/>
        <v>2167384</v>
      </c>
      <c r="Z36" s="127">
        <f t="shared" si="19"/>
        <v>2208564</v>
      </c>
      <c r="AA36" s="71">
        <f t="shared" si="20"/>
        <v>2167384</v>
      </c>
      <c r="AB36" s="128">
        <f t="shared" si="4"/>
        <v>4375948</v>
      </c>
    </row>
    <row r="37" spans="1:29" s="12" customFormat="1" ht="12" x14ac:dyDescent="0.15">
      <c r="A37" s="196" t="s">
        <v>101</v>
      </c>
      <c r="B37" s="197"/>
      <c r="C37" s="197"/>
      <c r="D37" s="197"/>
      <c r="E37" s="197"/>
      <c r="F37" s="197"/>
      <c r="G37" s="39">
        <v>2049595</v>
      </c>
      <c r="H37" s="39">
        <v>17026</v>
      </c>
      <c r="I37" s="39">
        <v>0</v>
      </c>
      <c r="J37" s="39">
        <v>216</v>
      </c>
      <c r="K37" s="39">
        <v>0</v>
      </c>
      <c r="L37" s="160">
        <f t="shared" si="6"/>
        <v>17242</v>
      </c>
      <c r="M37" s="39">
        <v>7543</v>
      </c>
      <c r="N37" s="39">
        <v>3233</v>
      </c>
      <c r="O37" s="39">
        <v>0</v>
      </c>
      <c r="P37" s="39">
        <v>0</v>
      </c>
      <c r="Q37" s="39">
        <v>4310</v>
      </c>
      <c r="R37" s="39">
        <v>8621</v>
      </c>
      <c r="S37" s="39">
        <v>0</v>
      </c>
      <c r="T37" s="39">
        <v>0</v>
      </c>
      <c r="U37" s="39">
        <v>0</v>
      </c>
      <c r="V37" s="39">
        <v>0</v>
      </c>
      <c r="W37" s="160">
        <f t="shared" si="1"/>
        <v>23707</v>
      </c>
      <c r="X37" s="39">
        <v>64656</v>
      </c>
      <c r="Y37" s="161">
        <f t="shared" si="2"/>
        <v>2155200</v>
      </c>
      <c r="Z37" s="87">
        <f t="shared" si="19"/>
        <v>2196149</v>
      </c>
      <c r="AA37" s="39">
        <v>2155200</v>
      </c>
      <c r="AB37" s="126">
        <f t="shared" si="4"/>
        <v>4351349</v>
      </c>
    </row>
    <row r="38" spans="1:29" s="12" customFormat="1" ht="6" customHeight="1" x14ac:dyDescent="0.15">
      <c r="A38" s="144" t="s">
        <v>100</v>
      </c>
      <c r="B38" s="145"/>
      <c r="C38" s="145"/>
      <c r="D38" s="145"/>
      <c r="E38" s="145"/>
      <c r="F38" s="145"/>
      <c r="G38" s="39"/>
      <c r="H38" s="39"/>
      <c r="I38" s="39"/>
      <c r="J38" s="39"/>
      <c r="K38" s="39"/>
      <c r="L38" s="160">
        <f t="shared" si="6"/>
        <v>0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160">
        <f t="shared" si="1"/>
        <v>0</v>
      </c>
      <c r="X38" s="39"/>
      <c r="Y38" s="161">
        <f t="shared" si="2"/>
        <v>0</v>
      </c>
      <c r="Z38" s="87">
        <f t="shared" si="19"/>
        <v>0</v>
      </c>
      <c r="AA38" s="39">
        <v>0</v>
      </c>
      <c r="AB38" s="126">
        <f t="shared" si="4"/>
        <v>0</v>
      </c>
    </row>
    <row r="39" spans="1:29" s="12" customFormat="1" ht="12" x14ac:dyDescent="0.15">
      <c r="A39" s="144" t="s">
        <v>99</v>
      </c>
      <c r="B39" s="145"/>
      <c r="C39" s="145"/>
      <c r="D39" s="145"/>
      <c r="E39" s="145"/>
      <c r="F39" s="145"/>
      <c r="G39" s="39">
        <v>11587</v>
      </c>
      <c r="H39" s="39">
        <v>96</v>
      </c>
      <c r="I39" s="39">
        <f t="shared" ref="I39:K39" si="21">12184*I29/100</f>
        <v>0</v>
      </c>
      <c r="J39" s="39">
        <v>1</v>
      </c>
      <c r="K39" s="39">
        <f t="shared" si="21"/>
        <v>0</v>
      </c>
      <c r="L39" s="160">
        <f t="shared" si="6"/>
        <v>97</v>
      </c>
      <c r="M39" s="39">
        <v>43</v>
      </c>
      <c r="N39" s="39">
        <v>18</v>
      </c>
      <c r="O39" s="39">
        <v>0</v>
      </c>
      <c r="P39" s="39">
        <v>0</v>
      </c>
      <c r="Q39" s="39">
        <v>24</v>
      </c>
      <c r="R39" s="39">
        <v>49</v>
      </c>
      <c r="S39" s="39">
        <v>0</v>
      </c>
      <c r="T39" s="39">
        <v>0</v>
      </c>
      <c r="U39" s="39">
        <v>0</v>
      </c>
      <c r="V39" s="39">
        <v>0</v>
      </c>
      <c r="W39" s="160">
        <f t="shared" si="1"/>
        <v>134</v>
      </c>
      <c r="X39" s="39">
        <v>366</v>
      </c>
      <c r="Y39" s="161">
        <f t="shared" si="2"/>
        <v>12184</v>
      </c>
      <c r="Z39" s="87">
        <f t="shared" si="19"/>
        <v>12415</v>
      </c>
      <c r="AA39" s="39">
        <v>12184</v>
      </c>
      <c r="AB39" s="126">
        <f t="shared" si="4"/>
        <v>24599</v>
      </c>
    </row>
    <row r="40" spans="1:29" s="20" customFormat="1" ht="12" x14ac:dyDescent="0.15">
      <c r="A40" s="198" t="s">
        <v>102</v>
      </c>
      <c r="B40" s="199"/>
      <c r="C40" s="199"/>
      <c r="D40" s="199"/>
      <c r="E40" s="199"/>
      <c r="F40" s="199"/>
      <c r="G40" s="71">
        <f t="shared" ref="G40:X40" si="22">0*G28/100</f>
        <v>0</v>
      </c>
      <c r="H40" s="71">
        <f t="shared" si="22"/>
        <v>0</v>
      </c>
      <c r="I40" s="71">
        <f t="shared" si="22"/>
        <v>0</v>
      </c>
      <c r="J40" s="71">
        <f t="shared" si="22"/>
        <v>0</v>
      </c>
      <c r="K40" s="71">
        <f t="shared" si="22"/>
        <v>0</v>
      </c>
      <c r="L40" s="160">
        <f t="shared" si="6"/>
        <v>0</v>
      </c>
      <c r="M40" s="71">
        <f t="shared" si="22"/>
        <v>0</v>
      </c>
      <c r="N40" s="71">
        <f t="shared" si="22"/>
        <v>0</v>
      </c>
      <c r="O40" s="71">
        <f t="shared" si="22"/>
        <v>0</v>
      </c>
      <c r="P40" s="71">
        <f t="shared" si="22"/>
        <v>0</v>
      </c>
      <c r="Q40" s="71">
        <f t="shared" si="22"/>
        <v>0</v>
      </c>
      <c r="R40" s="71">
        <f t="shared" si="22"/>
        <v>0</v>
      </c>
      <c r="S40" s="71">
        <f t="shared" si="22"/>
        <v>0</v>
      </c>
      <c r="T40" s="71">
        <f t="shared" si="22"/>
        <v>0</v>
      </c>
      <c r="U40" s="71">
        <f t="shared" si="22"/>
        <v>0</v>
      </c>
      <c r="V40" s="71">
        <f t="shared" si="22"/>
        <v>0</v>
      </c>
      <c r="W40" s="160">
        <f t="shared" si="1"/>
        <v>0</v>
      </c>
      <c r="X40" s="71">
        <f t="shared" si="22"/>
        <v>0</v>
      </c>
      <c r="Y40" s="161">
        <f t="shared" si="2"/>
        <v>0</v>
      </c>
      <c r="Z40" s="127">
        <f t="shared" si="19"/>
        <v>0</v>
      </c>
      <c r="AA40" s="71"/>
      <c r="AB40" s="128">
        <f t="shared" si="4"/>
        <v>0</v>
      </c>
    </row>
    <row r="41" spans="1:29" s="20" customFormat="1" ht="12" x14ac:dyDescent="0.15">
      <c r="A41" s="190" t="s">
        <v>145</v>
      </c>
      <c r="B41" s="191"/>
      <c r="C41" s="191"/>
      <c r="D41" s="191"/>
      <c r="E41" s="191"/>
      <c r="F41" s="191"/>
      <c r="G41" s="71"/>
      <c r="H41" s="71"/>
      <c r="I41" s="71"/>
      <c r="J41" s="71"/>
      <c r="K41" s="71"/>
      <c r="L41" s="160">
        <f t="shared" si="6"/>
        <v>0</v>
      </c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160">
        <f t="shared" si="1"/>
        <v>0</v>
      </c>
      <c r="X41" s="71">
        <v>92000</v>
      </c>
      <c r="Y41" s="161">
        <f t="shared" si="2"/>
        <v>92000</v>
      </c>
      <c r="Z41" s="127">
        <f t="shared" si="19"/>
        <v>92000</v>
      </c>
      <c r="AA41" s="71">
        <v>92000</v>
      </c>
      <c r="AB41" s="128">
        <f t="shared" si="4"/>
        <v>184000</v>
      </c>
    </row>
    <row r="42" spans="1:29" s="20" customFormat="1" ht="12" x14ac:dyDescent="0.15">
      <c r="A42" s="190" t="s">
        <v>49</v>
      </c>
      <c r="B42" s="191"/>
      <c r="C42" s="191"/>
      <c r="D42" s="191"/>
      <c r="E42" s="191"/>
      <c r="F42" s="191"/>
      <c r="G42" s="71">
        <f>SUM(G43:G47)</f>
        <v>779836</v>
      </c>
      <c r="H42" s="71">
        <f t="shared" ref="H42:AA42" si="23">SUM(H43:H47)</f>
        <v>22176</v>
      </c>
      <c r="I42" s="71">
        <f t="shared" si="23"/>
        <v>0</v>
      </c>
      <c r="J42" s="71">
        <f t="shared" si="23"/>
        <v>316</v>
      </c>
      <c r="K42" s="71">
        <f t="shared" si="23"/>
        <v>2796</v>
      </c>
      <c r="L42" s="160">
        <f t="shared" si="6"/>
        <v>25288</v>
      </c>
      <c r="M42" s="71">
        <f t="shared" si="23"/>
        <v>6869</v>
      </c>
      <c r="N42" s="71">
        <f t="shared" si="23"/>
        <v>4462</v>
      </c>
      <c r="O42" s="71">
        <f t="shared" si="23"/>
        <v>0</v>
      </c>
      <c r="P42" s="71">
        <f t="shared" si="23"/>
        <v>0</v>
      </c>
      <c r="Q42" s="71">
        <f t="shared" si="23"/>
        <v>5763</v>
      </c>
      <c r="R42" s="71">
        <f t="shared" si="23"/>
        <v>7052</v>
      </c>
      <c r="S42" s="71">
        <f t="shared" si="23"/>
        <v>0</v>
      </c>
      <c r="T42" s="71">
        <f t="shared" si="23"/>
        <v>0</v>
      </c>
      <c r="U42" s="71">
        <f t="shared" si="23"/>
        <v>0</v>
      </c>
      <c r="V42" s="71">
        <f t="shared" si="23"/>
        <v>0</v>
      </c>
      <c r="W42" s="160">
        <f t="shared" si="1"/>
        <v>24146</v>
      </c>
      <c r="X42" s="71">
        <f t="shared" si="23"/>
        <v>256032</v>
      </c>
      <c r="Y42" s="161">
        <f t="shared" si="2"/>
        <v>1085302</v>
      </c>
      <c r="Z42" s="127">
        <f t="shared" si="19"/>
        <v>1134736</v>
      </c>
      <c r="AA42" s="71">
        <f t="shared" si="23"/>
        <v>1085302</v>
      </c>
      <c r="AB42" s="128">
        <f t="shared" si="4"/>
        <v>2220038</v>
      </c>
    </row>
    <row r="43" spans="1:29" s="12" customFormat="1" ht="12" x14ac:dyDescent="0.15">
      <c r="A43" s="188" t="s">
        <v>50</v>
      </c>
      <c r="B43" s="189"/>
      <c r="C43" s="189"/>
      <c r="D43" s="189"/>
      <c r="E43" s="189"/>
      <c r="F43" s="189"/>
      <c r="G43" s="39">
        <v>721074</v>
      </c>
      <c r="H43" s="39">
        <v>20505</v>
      </c>
      <c r="I43" s="39">
        <f t="shared" ref="I43:V43" si="24">854470*I30/100</f>
        <v>0</v>
      </c>
      <c r="J43" s="39">
        <v>292</v>
      </c>
      <c r="K43" s="39">
        <v>2585</v>
      </c>
      <c r="L43" s="160">
        <f t="shared" si="6"/>
        <v>23382</v>
      </c>
      <c r="M43" s="39">
        <v>6352</v>
      </c>
      <c r="N43" s="39">
        <v>4126</v>
      </c>
      <c r="O43" s="39">
        <f t="shared" si="24"/>
        <v>0</v>
      </c>
      <c r="P43" s="39">
        <f t="shared" si="24"/>
        <v>0</v>
      </c>
      <c r="Q43" s="39">
        <v>5330</v>
      </c>
      <c r="R43" s="39">
        <v>6520</v>
      </c>
      <c r="S43" s="39">
        <f t="shared" si="24"/>
        <v>0</v>
      </c>
      <c r="T43" s="39">
        <f t="shared" si="24"/>
        <v>0</v>
      </c>
      <c r="U43" s="39">
        <f t="shared" si="24"/>
        <v>0</v>
      </c>
      <c r="V43" s="39">
        <f t="shared" si="24"/>
        <v>0</v>
      </c>
      <c r="W43" s="160">
        <f t="shared" si="1"/>
        <v>22328</v>
      </c>
      <c r="X43" s="39">
        <v>87686</v>
      </c>
      <c r="Y43" s="161">
        <f t="shared" si="2"/>
        <v>854470</v>
      </c>
      <c r="Z43" s="87">
        <f t="shared" si="19"/>
        <v>900180</v>
      </c>
      <c r="AA43" s="39">
        <v>854470</v>
      </c>
      <c r="AB43" s="126">
        <f t="shared" si="4"/>
        <v>1754650</v>
      </c>
    </row>
    <row r="44" spans="1:29" s="12" customFormat="1" ht="12" x14ac:dyDescent="0.15">
      <c r="A44" s="188" t="s">
        <v>51</v>
      </c>
      <c r="B44" s="189"/>
      <c r="C44" s="189"/>
      <c r="D44" s="189"/>
      <c r="E44" s="189"/>
      <c r="F44" s="189"/>
      <c r="G44" s="39">
        <v>16002</v>
      </c>
      <c r="H44" s="39">
        <v>455</v>
      </c>
      <c r="I44" s="39">
        <f t="shared" ref="I44:V44" si="25">18962*I30/100</f>
        <v>0</v>
      </c>
      <c r="J44" s="39">
        <v>6</v>
      </c>
      <c r="K44" s="39">
        <v>58</v>
      </c>
      <c r="L44" s="160">
        <f t="shared" si="6"/>
        <v>519</v>
      </c>
      <c r="M44" s="39">
        <v>140</v>
      </c>
      <c r="N44" s="39">
        <v>92</v>
      </c>
      <c r="O44" s="39">
        <f t="shared" si="25"/>
        <v>0</v>
      </c>
      <c r="P44" s="39">
        <f t="shared" si="25"/>
        <v>0</v>
      </c>
      <c r="Q44" s="39">
        <v>118</v>
      </c>
      <c r="R44" s="39">
        <v>145</v>
      </c>
      <c r="S44" s="39">
        <f t="shared" si="25"/>
        <v>0</v>
      </c>
      <c r="T44" s="39">
        <f t="shared" si="25"/>
        <v>0</v>
      </c>
      <c r="U44" s="39">
        <f t="shared" si="25"/>
        <v>0</v>
      </c>
      <c r="V44" s="39">
        <f t="shared" si="25"/>
        <v>0</v>
      </c>
      <c r="W44" s="160">
        <f t="shared" si="1"/>
        <v>495</v>
      </c>
      <c r="X44" s="39">
        <v>1946</v>
      </c>
      <c r="Y44" s="161">
        <f t="shared" si="2"/>
        <v>18962</v>
      </c>
      <c r="Z44" s="87">
        <f t="shared" si="19"/>
        <v>19976</v>
      </c>
      <c r="AA44" s="39">
        <v>18962</v>
      </c>
      <c r="AB44" s="126">
        <f t="shared" si="4"/>
        <v>38938</v>
      </c>
    </row>
    <row r="45" spans="1:29" s="12" customFormat="1" ht="12" x14ac:dyDescent="0.15">
      <c r="A45" s="188" t="s">
        <v>52</v>
      </c>
      <c r="B45" s="189"/>
      <c r="C45" s="189"/>
      <c r="D45" s="189"/>
      <c r="E45" s="189"/>
      <c r="F45" s="189"/>
      <c r="G45" s="39">
        <v>15629</v>
      </c>
      <c r="H45" s="39">
        <v>444</v>
      </c>
      <c r="I45" s="39">
        <f t="shared" ref="I45:V45" si="26">18520*I30/100</f>
        <v>0</v>
      </c>
      <c r="J45" s="39">
        <v>7</v>
      </c>
      <c r="K45" s="39">
        <v>56</v>
      </c>
      <c r="L45" s="160">
        <f t="shared" si="6"/>
        <v>507</v>
      </c>
      <c r="M45" s="39">
        <v>138</v>
      </c>
      <c r="N45" s="39">
        <v>89</v>
      </c>
      <c r="O45" s="39">
        <f t="shared" si="26"/>
        <v>0</v>
      </c>
      <c r="P45" s="39">
        <f t="shared" si="26"/>
        <v>0</v>
      </c>
      <c r="Q45" s="39">
        <v>115</v>
      </c>
      <c r="R45" s="39">
        <v>141</v>
      </c>
      <c r="S45" s="39">
        <f t="shared" si="26"/>
        <v>0</v>
      </c>
      <c r="T45" s="39">
        <f t="shared" si="26"/>
        <v>0</v>
      </c>
      <c r="U45" s="39">
        <f t="shared" si="26"/>
        <v>0</v>
      </c>
      <c r="V45" s="39">
        <f t="shared" si="26"/>
        <v>0</v>
      </c>
      <c r="W45" s="160">
        <f t="shared" si="1"/>
        <v>483</v>
      </c>
      <c r="X45" s="39">
        <v>1901</v>
      </c>
      <c r="Y45" s="161">
        <f t="shared" si="2"/>
        <v>18520</v>
      </c>
      <c r="Z45" s="87">
        <f t="shared" si="19"/>
        <v>19510</v>
      </c>
      <c r="AA45" s="39">
        <v>18520</v>
      </c>
      <c r="AB45" s="126">
        <f t="shared" si="4"/>
        <v>38030</v>
      </c>
    </row>
    <row r="46" spans="1:29" s="12" customFormat="1" ht="12" x14ac:dyDescent="0.15">
      <c r="A46" s="188" t="s">
        <v>53</v>
      </c>
      <c r="B46" s="189"/>
      <c r="C46" s="189"/>
      <c r="D46" s="189"/>
      <c r="E46" s="189"/>
      <c r="F46" s="189"/>
      <c r="G46" s="39">
        <v>27131</v>
      </c>
      <c r="H46" s="39">
        <v>772</v>
      </c>
      <c r="I46" s="39">
        <f t="shared" ref="I46:V46" si="27">32150*I30/100</f>
        <v>0</v>
      </c>
      <c r="J46" s="39">
        <v>11</v>
      </c>
      <c r="K46" s="39">
        <v>97</v>
      </c>
      <c r="L46" s="160">
        <f t="shared" si="6"/>
        <v>880</v>
      </c>
      <c r="M46" s="39">
        <v>239</v>
      </c>
      <c r="N46" s="39">
        <v>155</v>
      </c>
      <c r="O46" s="39">
        <f t="shared" si="27"/>
        <v>0</v>
      </c>
      <c r="P46" s="39">
        <f t="shared" si="27"/>
        <v>0</v>
      </c>
      <c r="Q46" s="39">
        <v>200</v>
      </c>
      <c r="R46" s="39">
        <v>246</v>
      </c>
      <c r="S46" s="39">
        <f t="shared" si="27"/>
        <v>0</v>
      </c>
      <c r="T46" s="39">
        <f t="shared" si="27"/>
        <v>0</v>
      </c>
      <c r="U46" s="39">
        <f t="shared" si="27"/>
        <v>0</v>
      </c>
      <c r="V46" s="39">
        <f t="shared" si="27"/>
        <v>0</v>
      </c>
      <c r="W46" s="160">
        <f t="shared" si="1"/>
        <v>840</v>
      </c>
      <c r="X46" s="39">
        <v>3299</v>
      </c>
      <c r="Y46" s="161">
        <f t="shared" si="2"/>
        <v>32150</v>
      </c>
      <c r="Z46" s="87">
        <f t="shared" si="19"/>
        <v>33870</v>
      </c>
      <c r="AA46" s="39">
        <v>32150</v>
      </c>
      <c r="AB46" s="126">
        <f t="shared" si="4"/>
        <v>66020</v>
      </c>
    </row>
    <row r="47" spans="1:29" s="12" customFormat="1" ht="10.5" customHeight="1" x14ac:dyDescent="0.15">
      <c r="A47" s="186" t="s">
        <v>54</v>
      </c>
      <c r="B47" s="187"/>
      <c r="C47" s="187"/>
      <c r="D47" s="187"/>
      <c r="E47" s="187"/>
      <c r="F47" s="187"/>
      <c r="G47" s="39"/>
      <c r="H47" s="39"/>
      <c r="I47" s="39"/>
      <c r="J47" s="39"/>
      <c r="K47" s="39"/>
      <c r="L47" s="160">
        <f t="shared" si="6"/>
        <v>0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160">
        <f t="shared" si="1"/>
        <v>0</v>
      </c>
      <c r="X47" s="39">
        <v>161200</v>
      </c>
      <c r="Y47" s="161">
        <f t="shared" si="2"/>
        <v>161200</v>
      </c>
      <c r="Z47" s="87">
        <f t="shared" si="19"/>
        <v>161200</v>
      </c>
      <c r="AA47" s="39">
        <v>161200</v>
      </c>
      <c r="AB47" s="126">
        <f t="shared" si="4"/>
        <v>322400</v>
      </c>
      <c r="AC47" s="21"/>
    </row>
    <row r="48" spans="1:29" s="20" customFormat="1" ht="10.5" customHeight="1" x14ac:dyDescent="0.15">
      <c r="A48" s="190" t="s">
        <v>32</v>
      </c>
      <c r="B48" s="191"/>
      <c r="C48" s="191"/>
      <c r="D48" s="191"/>
      <c r="E48" s="191"/>
      <c r="F48" s="191"/>
      <c r="G48" s="71">
        <v>24000</v>
      </c>
      <c r="H48" s="71">
        <v>0</v>
      </c>
      <c r="I48" s="71"/>
      <c r="J48" s="71"/>
      <c r="K48" s="71"/>
      <c r="L48" s="160">
        <f t="shared" si="6"/>
        <v>0</v>
      </c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160">
        <f t="shared" si="1"/>
        <v>0</v>
      </c>
      <c r="X48" s="71">
        <v>151920</v>
      </c>
      <c r="Y48" s="161">
        <f t="shared" si="2"/>
        <v>175920</v>
      </c>
      <c r="Z48" s="127">
        <f t="shared" si="19"/>
        <v>175920</v>
      </c>
      <c r="AA48" s="71">
        <v>151920</v>
      </c>
      <c r="AB48" s="128">
        <f t="shared" si="4"/>
        <v>327840</v>
      </c>
      <c r="AC48" s="19"/>
    </row>
    <row r="49" spans="1:30" s="20" customFormat="1" ht="12" x14ac:dyDescent="0.15">
      <c r="A49" s="190" t="s">
        <v>33</v>
      </c>
      <c r="B49" s="191"/>
      <c r="C49" s="191"/>
      <c r="D49" s="191"/>
      <c r="E49" s="191"/>
      <c r="F49" s="191"/>
      <c r="G49" s="71">
        <f>SUM(G50:G52)</f>
        <v>277131</v>
      </c>
      <c r="H49" s="71">
        <f t="shared" ref="H49:AA49" si="28">SUM(H50:H52)</f>
        <v>18790</v>
      </c>
      <c r="I49" s="71">
        <f t="shared" si="28"/>
        <v>0</v>
      </c>
      <c r="J49" s="71">
        <f t="shared" si="28"/>
        <v>89</v>
      </c>
      <c r="K49" s="71">
        <f t="shared" si="28"/>
        <v>9398</v>
      </c>
      <c r="L49" s="160">
        <f t="shared" si="6"/>
        <v>28277</v>
      </c>
      <c r="M49" s="71">
        <f t="shared" si="28"/>
        <v>1936</v>
      </c>
      <c r="N49" s="71">
        <f t="shared" si="28"/>
        <v>1258</v>
      </c>
      <c r="O49" s="71">
        <f t="shared" si="28"/>
        <v>57560</v>
      </c>
      <c r="P49" s="71">
        <f t="shared" si="28"/>
        <v>0</v>
      </c>
      <c r="Q49" s="71">
        <f t="shared" si="28"/>
        <v>1624</v>
      </c>
      <c r="R49" s="71">
        <f t="shared" si="28"/>
        <v>1987</v>
      </c>
      <c r="S49" s="71">
        <f t="shared" si="28"/>
        <v>0</v>
      </c>
      <c r="T49" s="71">
        <f t="shared" si="28"/>
        <v>0</v>
      </c>
      <c r="U49" s="71">
        <f t="shared" si="28"/>
        <v>0</v>
      </c>
      <c r="V49" s="71">
        <f t="shared" si="28"/>
        <v>1250</v>
      </c>
      <c r="W49" s="160">
        <f t="shared" si="1"/>
        <v>65615</v>
      </c>
      <c r="X49" s="71">
        <f t="shared" si="28"/>
        <v>243167</v>
      </c>
      <c r="Y49" s="161">
        <f t="shared" si="2"/>
        <v>614190</v>
      </c>
      <c r="Z49" s="127">
        <f t="shared" si="19"/>
        <v>708082</v>
      </c>
      <c r="AA49" s="71">
        <f t="shared" si="28"/>
        <v>434420</v>
      </c>
      <c r="AB49" s="128">
        <f t="shared" si="4"/>
        <v>1142502</v>
      </c>
      <c r="AC49" s="19"/>
      <c r="AD49" s="19"/>
    </row>
    <row r="50" spans="1:30" s="12" customFormat="1" ht="12" x14ac:dyDescent="0.15">
      <c r="A50" s="186" t="s">
        <v>34</v>
      </c>
      <c r="B50" s="187"/>
      <c r="C50" s="187"/>
      <c r="D50" s="187"/>
      <c r="E50" s="187"/>
      <c r="F50" s="187"/>
      <c r="G50" s="39">
        <v>57350</v>
      </c>
      <c r="H50" s="39">
        <v>12540</v>
      </c>
      <c r="I50" s="39"/>
      <c r="J50" s="39"/>
      <c r="K50" s="39">
        <v>8610</v>
      </c>
      <c r="L50" s="160">
        <f t="shared" si="6"/>
        <v>21150</v>
      </c>
      <c r="M50" s="39"/>
      <c r="N50" s="39"/>
      <c r="O50" s="39">
        <v>57560</v>
      </c>
      <c r="P50" s="39"/>
      <c r="Q50" s="39"/>
      <c r="R50" s="39"/>
      <c r="S50" s="39"/>
      <c r="T50" s="39"/>
      <c r="U50" s="39"/>
      <c r="V50" s="39">
        <v>1250</v>
      </c>
      <c r="W50" s="160">
        <f t="shared" si="1"/>
        <v>58810</v>
      </c>
      <c r="X50" s="39">
        <v>42460</v>
      </c>
      <c r="Y50" s="161">
        <f t="shared" si="2"/>
        <v>179770</v>
      </c>
      <c r="Z50" s="87">
        <f t="shared" si="19"/>
        <v>259730</v>
      </c>
      <c r="AA50" s="97"/>
      <c r="AB50" s="126">
        <f t="shared" si="4"/>
        <v>259730</v>
      </c>
    </row>
    <row r="51" spans="1:30" s="12" customFormat="1" ht="12" x14ac:dyDescent="0.15">
      <c r="A51" s="188" t="s">
        <v>79</v>
      </c>
      <c r="B51" s="189"/>
      <c r="C51" s="189"/>
      <c r="D51" s="189"/>
      <c r="E51" s="189"/>
      <c r="F51" s="189"/>
      <c r="G51" s="39">
        <v>219781</v>
      </c>
      <c r="H51" s="39">
        <v>6250</v>
      </c>
      <c r="I51" s="39">
        <v>0</v>
      </c>
      <c r="J51" s="39">
        <v>89</v>
      </c>
      <c r="K51" s="39">
        <v>788</v>
      </c>
      <c r="L51" s="160">
        <f t="shared" si="6"/>
        <v>7127</v>
      </c>
      <c r="M51" s="39">
        <v>1936</v>
      </c>
      <c r="N51" s="39">
        <v>1258</v>
      </c>
      <c r="O51" s="39">
        <v>0</v>
      </c>
      <c r="P51" s="39">
        <v>0</v>
      </c>
      <c r="Q51" s="39">
        <v>1624</v>
      </c>
      <c r="R51" s="39">
        <v>1987</v>
      </c>
      <c r="S51" s="39">
        <v>0</v>
      </c>
      <c r="T51" s="39">
        <v>0</v>
      </c>
      <c r="U51" s="39">
        <v>0</v>
      </c>
      <c r="V51" s="39">
        <v>0</v>
      </c>
      <c r="W51" s="160">
        <f t="shared" si="1"/>
        <v>6805</v>
      </c>
      <c r="X51" s="39">
        <v>26727</v>
      </c>
      <c r="Y51" s="161">
        <f t="shared" si="2"/>
        <v>260440</v>
      </c>
      <c r="Z51" s="87">
        <f t="shared" si="19"/>
        <v>274372</v>
      </c>
      <c r="AA51" s="39">
        <v>260440</v>
      </c>
      <c r="AB51" s="126">
        <f t="shared" si="4"/>
        <v>534812</v>
      </c>
    </row>
    <row r="52" spans="1:30" s="12" customFormat="1" ht="12" x14ac:dyDescent="0.15">
      <c r="A52" s="186" t="s">
        <v>35</v>
      </c>
      <c r="B52" s="187"/>
      <c r="C52" s="187"/>
      <c r="D52" s="187"/>
      <c r="E52" s="187"/>
      <c r="F52" s="187"/>
      <c r="G52" s="39"/>
      <c r="H52" s="39"/>
      <c r="I52" s="39"/>
      <c r="J52" s="39"/>
      <c r="K52" s="39"/>
      <c r="L52" s="160">
        <f t="shared" si="6"/>
        <v>0</v>
      </c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160">
        <f t="shared" si="1"/>
        <v>0</v>
      </c>
      <c r="X52" s="39">
        <v>173980</v>
      </c>
      <c r="Y52" s="161">
        <f t="shared" si="2"/>
        <v>173980</v>
      </c>
      <c r="Z52" s="87">
        <f t="shared" si="19"/>
        <v>173980</v>
      </c>
      <c r="AA52" s="39">
        <v>173980</v>
      </c>
      <c r="AB52" s="126">
        <f t="shared" si="4"/>
        <v>347960</v>
      </c>
    </row>
    <row r="53" spans="1:30" s="20" customFormat="1" ht="12" x14ac:dyDescent="0.15">
      <c r="A53" s="190" t="s">
        <v>36</v>
      </c>
      <c r="B53" s="191"/>
      <c r="C53" s="191"/>
      <c r="D53" s="191"/>
      <c r="E53" s="191"/>
      <c r="F53" s="191"/>
      <c r="G53" s="71">
        <f>SUM(G54:G57)</f>
        <v>134532</v>
      </c>
      <c r="H53" s="71">
        <f t="shared" ref="H53:AA53" si="29">SUM(H54:H57)</f>
        <v>23534</v>
      </c>
      <c r="I53" s="71">
        <f t="shared" si="29"/>
        <v>0</v>
      </c>
      <c r="J53" s="71">
        <f t="shared" si="29"/>
        <v>975</v>
      </c>
      <c r="K53" s="71">
        <f t="shared" si="29"/>
        <v>7434</v>
      </c>
      <c r="L53" s="160">
        <f t="shared" si="6"/>
        <v>31943</v>
      </c>
      <c r="M53" s="71">
        <f t="shared" si="29"/>
        <v>2309</v>
      </c>
      <c r="N53" s="71">
        <f t="shared" si="29"/>
        <v>337</v>
      </c>
      <c r="O53" s="71">
        <f t="shared" si="29"/>
        <v>6718</v>
      </c>
      <c r="P53" s="71">
        <f t="shared" si="29"/>
        <v>0</v>
      </c>
      <c r="Q53" s="71">
        <f t="shared" si="29"/>
        <v>1379</v>
      </c>
      <c r="R53" s="71">
        <f t="shared" si="29"/>
        <v>6252</v>
      </c>
      <c r="S53" s="71">
        <f t="shared" si="29"/>
        <v>0</v>
      </c>
      <c r="T53" s="71">
        <f t="shared" si="29"/>
        <v>140</v>
      </c>
      <c r="U53" s="71">
        <f t="shared" si="29"/>
        <v>82</v>
      </c>
      <c r="V53" s="71">
        <f t="shared" si="29"/>
        <v>2748</v>
      </c>
      <c r="W53" s="160">
        <f t="shared" si="1"/>
        <v>19965</v>
      </c>
      <c r="X53" s="71">
        <f t="shared" si="29"/>
        <v>81376</v>
      </c>
      <c r="Y53" s="161">
        <f t="shared" si="2"/>
        <v>267816</v>
      </c>
      <c r="Z53" s="127">
        <f t="shared" si="19"/>
        <v>319724</v>
      </c>
      <c r="AA53" s="71">
        <f t="shared" si="29"/>
        <v>118908</v>
      </c>
      <c r="AB53" s="128">
        <f t="shared" si="4"/>
        <v>438632</v>
      </c>
      <c r="AC53" s="19"/>
      <c r="AD53" s="19"/>
    </row>
    <row r="54" spans="1:30" s="12" customFormat="1" ht="12" x14ac:dyDescent="0.15">
      <c r="A54" s="186" t="s">
        <v>37</v>
      </c>
      <c r="B54" s="187"/>
      <c r="C54" s="187"/>
      <c r="D54" s="187"/>
      <c r="E54" s="187"/>
      <c r="F54" s="187"/>
      <c r="G54" s="39">
        <v>8856</v>
      </c>
      <c r="H54" s="39">
        <v>1750</v>
      </c>
      <c r="I54" s="39"/>
      <c r="J54" s="39"/>
      <c r="K54" s="39">
        <v>4536</v>
      </c>
      <c r="L54" s="160">
        <f t="shared" si="6"/>
        <v>6286</v>
      </c>
      <c r="M54" s="39">
        <v>1728</v>
      </c>
      <c r="N54" s="39">
        <v>173</v>
      </c>
      <c r="O54" s="39">
        <v>0</v>
      </c>
      <c r="P54" s="39"/>
      <c r="Q54" s="39">
        <v>677</v>
      </c>
      <c r="R54" s="39">
        <v>4334</v>
      </c>
      <c r="S54" s="39">
        <v>0</v>
      </c>
      <c r="T54" s="39"/>
      <c r="U54" s="39">
        <v>0</v>
      </c>
      <c r="V54" s="39"/>
      <c r="W54" s="160">
        <f t="shared" si="1"/>
        <v>6912</v>
      </c>
      <c r="X54" s="39">
        <v>1728</v>
      </c>
      <c r="Y54" s="161">
        <f t="shared" si="2"/>
        <v>23782</v>
      </c>
      <c r="Z54" s="87">
        <f t="shared" si="19"/>
        <v>36980</v>
      </c>
      <c r="AA54" s="39">
        <v>1728</v>
      </c>
      <c r="AB54" s="126">
        <f t="shared" si="4"/>
        <v>38708</v>
      </c>
    </row>
    <row r="55" spans="1:30" s="12" customFormat="1" ht="12" x14ac:dyDescent="0.15">
      <c r="A55" s="192" t="s">
        <v>106</v>
      </c>
      <c r="B55" s="193"/>
      <c r="C55" s="193"/>
      <c r="D55" s="193"/>
      <c r="E55" s="193"/>
      <c r="F55" s="193"/>
      <c r="G55" s="129">
        <v>63869</v>
      </c>
      <c r="H55" s="129">
        <v>3219</v>
      </c>
      <c r="I55" s="129">
        <v>0</v>
      </c>
      <c r="J55" s="129">
        <v>34</v>
      </c>
      <c r="K55" s="129">
        <v>0</v>
      </c>
      <c r="L55" s="160">
        <f t="shared" si="6"/>
        <v>3253</v>
      </c>
      <c r="M55" s="129">
        <v>48</v>
      </c>
      <c r="N55" s="129">
        <v>0</v>
      </c>
      <c r="O55" s="129">
        <v>0</v>
      </c>
      <c r="P55" s="129">
        <v>0</v>
      </c>
      <c r="Q55" s="129">
        <v>254</v>
      </c>
      <c r="R55" s="129">
        <v>32</v>
      </c>
      <c r="S55" s="129">
        <v>0</v>
      </c>
      <c r="T55" s="129">
        <v>0</v>
      </c>
      <c r="U55" s="129">
        <v>0</v>
      </c>
      <c r="V55" s="129">
        <v>0</v>
      </c>
      <c r="W55" s="160">
        <f t="shared" si="1"/>
        <v>334</v>
      </c>
      <c r="X55" s="129">
        <v>49724</v>
      </c>
      <c r="Y55" s="161">
        <f t="shared" si="2"/>
        <v>117180</v>
      </c>
      <c r="Z55" s="129">
        <f>SUM(G55:X55)</f>
        <v>120767</v>
      </c>
      <c r="AA55" s="39">
        <v>117180</v>
      </c>
      <c r="AB55" s="126">
        <f t="shared" si="4"/>
        <v>237947</v>
      </c>
    </row>
    <row r="56" spans="1:30" s="12" customFormat="1" ht="12" x14ac:dyDescent="0.15">
      <c r="A56" s="186" t="s">
        <v>38</v>
      </c>
      <c r="B56" s="187"/>
      <c r="C56" s="187"/>
      <c r="D56" s="187"/>
      <c r="E56" s="187"/>
      <c r="F56" s="187"/>
      <c r="G56" s="39">
        <v>7680</v>
      </c>
      <c r="H56" s="39">
        <v>1620</v>
      </c>
      <c r="I56" s="39"/>
      <c r="J56" s="39"/>
      <c r="K56" s="39"/>
      <c r="L56" s="160">
        <f t="shared" si="6"/>
        <v>1620</v>
      </c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160">
        <f t="shared" si="1"/>
        <v>0</v>
      </c>
      <c r="X56" s="39"/>
      <c r="Y56" s="161">
        <f t="shared" si="2"/>
        <v>9300</v>
      </c>
      <c r="Z56" s="87">
        <f t="shared" si="19"/>
        <v>10920</v>
      </c>
      <c r="AA56" s="39"/>
      <c r="AB56" s="126">
        <f t="shared" si="4"/>
        <v>10920</v>
      </c>
    </row>
    <row r="57" spans="1:30" s="12" customFormat="1" ht="12" x14ac:dyDescent="0.15">
      <c r="A57" s="186" t="s">
        <v>39</v>
      </c>
      <c r="B57" s="187"/>
      <c r="C57" s="187"/>
      <c r="D57" s="187"/>
      <c r="E57" s="187"/>
      <c r="F57" s="187"/>
      <c r="G57" s="39">
        <v>54127</v>
      </c>
      <c r="H57" s="39">
        <v>16945</v>
      </c>
      <c r="I57" s="39"/>
      <c r="J57" s="39">
        <v>941</v>
      </c>
      <c r="K57" s="39">
        <v>2898</v>
      </c>
      <c r="L57" s="160">
        <f t="shared" si="6"/>
        <v>20784</v>
      </c>
      <c r="M57" s="39">
        <v>533</v>
      </c>
      <c r="N57" s="39">
        <v>164</v>
      </c>
      <c r="O57" s="39">
        <v>6718</v>
      </c>
      <c r="P57" s="39"/>
      <c r="Q57" s="39">
        <v>448</v>
      </c>
      <c r="R57" s="39">
        <v>1886</v>
      </c>
      <c r="S57" s="39">
        <v>0</v>
      </c>
      <c r="T57" s="39">
        <v>140</v>
      </c>
      <c r="U57" s="39">
        <v>82</v>
      </c>
      <c r="V57" s="39">
        <v>2748</v>
      </c>
      <c r="W57" s="160">
        <f t="shared" si="1"/>
        <v>12719</v>
      </c>
      <c r="X57" s="39">
        <v>29924</v>
      </c>
      <c r="Y57" s="161">
        <f t="shared" si="2"/>
        <v>117554</v>
      </c>
      <c r="Z57" s="87">
        <f t="shared" si="19"/>
        <v>151057</v>
      </c>
      <c r="AA57" s="97"/>
      <c r="AB57" s="126">
        <f t="shared" si="4"/>
        <v>151057</v>
      </c>
    </row>
    <row r="58" spans="1:30" s="20" customFormat="1" ht="12" x14ac:dyDescent="0.15">
      <c r="A58" s="188" t="s">
        <v>89</v>
      </c>
      <c r="B58" s="189"/>
      <c r="C58" s="189"/>
      <c r="D58" s="189"/>
      <c r="E58" s="189"/>
      <c r="F58" s="189"/>
      <c r="G58" s="71">
        <v>23079</v>
      </c>
      <c r="H58" s="71">
        <v>656</v>
      </c>
      <c r="I58" s="71">
        <v>0</v>
      </c>
      <c r="J58" s="71">
        <v>9</v>
      </c>
      <c r="K58" s="71">
        <v>83</v>
      </c>
      <c r="L58" s="160">
        <f t="shared" si="6"/>
        <v>748</v>
      </c>
      <c r="M58" s="71">
        <v>203</v>
      </c>
      <c r="N58" s="71">
        <v>132</v>
      </c>
      <c r="O58" s="71">
        <v>0</v>
      </c>
      <c r="P58" s="71">
        <v>0</v>
      </c>
      <c r="Q58" s="71">
        <v>171</v>
      </c>
      <c r="R58" s="71">
        <v>209</v>
      </c>
      <c r="S58" s="71">
        <v>0</v>
      </c>
      <c r="T58" s="71">
        <v>0</v>
      </c>
      <c r="U58" s="71">
        <v>0</v>
      </c>
      <c r="V58" s="71">
        <v>0</v>
      </c>
      <c r="W58" s="160">
        <f t="shared" si="1"/>
        <v>715</v>
      </c>
      <c r="X58" s="71">
        <v>2807</v>
      </c>
      <c r="Y58" s="161">
        <f t="shared" si="2"/>
        <v>27349</v>
      </c>
      <c r="Z58" s="127">
        <f t="shared" si="19"/>
        <v>28812</v>
      </c>
      <c r="AA58" s="71"/>
      <c r="AB58" s="128">
        <f t="shared" si="4"/>
        <v>28812</v>
      </c>
      <c r="AC58" s="19"/>
      <c r="AD58" s="19"/>
    </row>
    <row r="59" spans="1:30" s="20" customFormat="1" ht="12" x14ac:dyDescent="0.15">
      <c r="A59" s="190" t="s">
        <v>40</v>
      </c>
      <c r="B59" s="191"/>
      <c r="C59" s="191"/>
      <c r="D59" s="191"/>
      <c r="E59" s="191"/>
      <c r="F59" s="191"/>
      <c r="G59" s="71">
        <f>SUM(G60:G61)</f>
        <v>112369</v>
      </c>
      <c r="H59" s="71">
        <f t="shared" ref="H59:X59" si="30">SUM(H60:H61)</f>
        <v>7861</v>
      </c>
      <c r="I59" s="71">
        <f t="shared" si="30"/>
        <v>0</v>
      </c>
      <c r="J59" s="71">
        <f t="shared" si="30"/>
        <v>41</v>
      </c>
      <c r="K59" s="71">
        <f t="shared" si="30"/>
        <v>363</v>
      </c>
      <c r="L59" s="160">
        <f t="shared" si="6"/>
        <v>8265</v>
      </c>
      <c r="M59" s="71">
        <f t="shared" si="30"/>
        <v>890</v>
      </c>
      <c r="N59" s="71">
        <f t="shared" si="30"/>
        <v>578</v>
      </c>
      <c r="O59" s="71">
        <f t="shared" si="30"/>
        <v>0</v>
      </c>
      <c r="P59" s="71">
        <f t="shared" si="30"/>
        <v>0</v>
      </c>
      <c r="Q59" s="71">
        <f t="shared" si="30"/>
        <v>747</v>
      </c>
      <c r="R59" s="71">
        <f t="shared" si="30"/>
        <v>914</v>
      </c>
      <c r="S59" s="71">
        <f t="shared" si="30"/>
        <v>0</v>
      </c>
      <c r="T59" s="71">
        <f t="shared" si="30"/>
        <v>0</v>
      </c>
      <c r="U59" s="71">
        <f t="shared" si="30"/>
        <v>0</v>
      </c>
      <c r="V59" s="71">
        <f t="shared" si="30"/>
        <v>0</v>
      </c>
      <c r="W59" s="160">
        <f t="shared" si="1"/>
        <v>3129</v>
      </c>
      <c r="X59" s="71">
        <f t="shared" si="30"/>
        <v>24422</v>
      </c>
      <c r="Y59" s="161">
        <f t="shared" si="2"/>
        <v>148185</v>
      </c>
      <c r="Z59" s="71">
        <f>SUM(Z60:Z61)</f>
        <v>159579</v>
      </c>
      <c r="AA59" s="71"/>
      <c r="AB59" s="128">
        <f t="shared" si="4"/>
        <v>159579</v>
      </c>
      <c r="AC59" s="19"/>
      <c r="AD59" s="19"/>
    </row>
    <row r="60" spans="1:30" s="20" customFormat="1" ht="12" x14ac:dyDescent="0.15">
      <c r="A60" s="143"/>
      <c r="B60" s="147"/>
      <c r="C60" s="147"/>
      <c r="D60" s="147" t="s">
        <v>92</v>
      </c>
      <c r="E60" s="147"/>
      <c r="F60" s="147"/>
      <c r="G60" s="96">
        <v>11303</v>
      </c>
      <c r="H60" s="96">
        <v>4987</v>
      </c>
      <c r="I60" s="96"/>
      <c r="J60" s="96"/>
      <c r="K60" s="96"/>
      <c r="L60" s="160">
        <f t="shared" si="6"/>
        <v>4987</v>
      </c>
      <c r="M60" s="96"/>
      <c r="N60" s="96">
        <v>0</v>
      </c>
      <c r="O60" s="96">
        <v>0</v>
      </c>
      <c r="P60" s="96"/>
      <c r="Q60" s="96"/>
      <c r="R60" s="96"/>
      <c r="S60" s="96"/>
      <c r="T60" s="96"/>
      <c r="U60" s="96"/>
      <c r="V60" s="96"/>
      <c r="W60" s="160">
        <f t="shared" si="1"/>
        <v>0</v>
      </c>
      <c r="X60" s="96">
        <v>12132</v>
      </c>
      <c r="Y60" s="161">
        <f t="shared" si="2"/>
        <v>28422</v>
      </c>
      <c r="Z60" s="130">
        <f t="shared" si="19"/>
        <v>33409</v>
      </c>
      <c r="AA60" s="96"/>
      <c r="AB60" s="118"/>
      <c r="AC60" s="19"/>
      <c r="AD60" s="19"/>
    </row>
    <row r="61" spans="1:30" s="20" customFormat="1" ht="12" x14ac:dyDescent="0.15">
      <c r="A61" s="143"/>
      <c r="B61" s="149"/>
      <c r="C61" s="149"/>
      <c r="D61" s="149" t="s">
        <v>93</v>
      </c>
      <c r="E61" s="149"/>
      <c r="F61" s="149"/>
      <c r="G61" s="71">
        <v>101066</v>
      </c>
      <c r="H61" s="71">
        <v>2874</v>
      </c>
      <c r="I61" s="71">
        <v>0</v>
      </c>
      <c r="J61" s="71">
        <v>41</v>
      </c>
      <c r="K61" s="71">
        <v>363</v>
      </c>
      <c r="L61" s="160">
        <f t="shared" si="6"/>
        <v>3278</v>
      </c>
      <c r="M61" s="71">
        <v>890</v>
      </c>
      <c r="N61" s="71">
        <v>578</v>
      </c>
      <c r="O61" s="71">
        <v>0</v>
      </c>
      <c r="P61" s="71">
        <v>0</v>
      </c>
      <c r="Q61" s="71">
        <v>747</v>
      </c>
      <c r="R61" s="71">
        <v>914</v>
      </c>
      <c r="S61" s="71">
        <v>0</v>
      </c>
      <c r="T61" s="71">
        <v>0</v>
      </c>
      <c r="U61" s="71">
        <v>0</v>
      </c>
      <c r="V61" s="71">
        <v>0</v>
      </c>
      <c r="W61" s="160">
        <f t="shared" si="1"/>
        <v>3129</v>
      </c>
      <c r="X61" s="71">
        <v>12290</v>
      </c>
      <c r="Y61" s="161">
        <f t="shared" si="2"/>
        <v>119763</v>
      </c>
      <c r="Z61" s="127">
        <f t="shared" si="19"/>
        <v>126170</v>
      </c>
      <c r="AA61" s="71"/>
      <c r="AB61" s="128"/>
      <c r="AC61" s="19"/>
      <c r="AD61" s="19"/>
    </row>
    <row r="62" spans="1:30" s="20" customFormat="1" ht="8.25" customHeight="1" x14ac:dyDescent="0.15">
      <c r="A62" s="188" t="s">
        <v>78</v>
      </c>
      <c r="B62" s="189"/>
      <c r="C62" s="189"/>
      <c r="D62" s="189"/>
      <c r="E62" s="189"/>
      <c r="F62" s="189"/>
      <c r="G62" s="71">
        <f>0*G30/100</f>
        <v>0</v>
      </c>
      <c r="H62" s="71">
        <f t="shared" ref="H62:X62" si="31">0*H30/100</f>
        <v>0</v>
      </c>
      <c r="I62" s="71">
        <f t="shared" si="31"/>
        <v>0</v>
      </c>
      <c r="J62" s="71">
        <f t="shared" si="31"/>
        <v>0</v>
      </c>
      <c r="K62" s="71">
        <f t="shared" si="31"/>
        <v>0</v>
      </c>
      <c r="L62" s="160">
        <f t="shared" si="6"/>
        <v>0</v>
      </c>
      <c r="M62" s="71">
        <f t="shared" si="31"/>
        <v>0</v>
      </c>
      <c r="N62" s="71">
        <f t="shared" si="31"/>
        <v>0</v>
      </c>
      <c r="O62" s="71">
        <f t="shared" si="31"/>
        <v>0</v>
      </c>
      <c r="P62" s="71">
        <f t="shared" si="31"/>
        <v>0</v>
      </c>
      <c r="Q62" s="71">
        <f t="shared" si="31"/>
        <v>0</v>
      </c>
      <c r="R62" s="71">
        <f t="shared" si="31"/>
        <v>0</v>
      </c>
      <c r="S62" s="71">
        <f t="shared" si="31"/>
        <v>0</v>
      </c>
      <c r="T62" s="71">
        <f t="shared" si="31"/>
        <v>0</v>
      </c>
      <c r="U62" s="71">
        <f t="shared" si="31"/>
        <v>0</v>
      </c>
      <c r="V62" s="71">
        <f t="shared" si="31"/>
        <v>0</v>
      </c>
      <c r="W62" s="160">
        <f t="shared" si="1"/>
        <v>0</v>
      </c>
      <c r="X62" s="71">
        <f t="shared" si="31"/>
        <v>0</v>
      </c>
      <c r="Y62" s="161">
        <f t="shared" si="2"/>
        <v>0</v>
      </c>
      <c r="Z62" s="127">
        <f t="shared" si="19"/>
        <v>0</v>
      </c>
      <c r="AA62" s="71">
        <v>0</v>
      </c>
      <c r="AB62" s="128">
        <f>SUM(Z62:AA62)</f>
        <v>0</v>
      </c>
    </row>
    <row r="63" spans="1:30" s="20" customFormat="1" ht="12" x14ac:dyDescent="0.15">
      <c r="A63" s="190" t="s">
        <v>41</v>
      </c>
      <c r="B63" s="191"/>
      <c r="C63" s="191"/>
      <c r="D63" s="191"/>
      <c r="E63" s="191"/>
      <c r="F63" s="191"/>
      <c r="G63" s="71">
        <f>SUM(G64:G66)</f>
        <v>126679</v>
      </c>
      <c r="H63" s="71">
        <f t="shared" ref="H63:Z63" si="32">SUM(H64:H66)</f>
        <v>3426</v>
      </c>
      <c r="I63" s="71">
        <f t="shared" si="32"/>
        <v>0</v>
      </c>
      <c r="J63" s="71">
        <f t="shared" si="32"/>
        <v>49</v>
      </c>
      <c r="K63" s="71">
        <f t="shared" si="32"/>
        <v>432</v>
      </c>
      <c r="L63" s="160">
        <f t="shared" si="6"/>
        <v>3907</v>
      </c>
      <c r="M63" s="71">
        <f t="shared" si="32"/>
        <v>1061</v>
      </c>
      <c r="N63" s="71">
        <f t="shared" si="32"/>
        <v>689</v>
      </c>
      <c r="O63" s="71">
        <f t="shared" si="32"/>
        <v>220</v>
      </c>
      <c r="P63" s="71">
        <f t="shared" si="32"/>
        <v>0</v>
      </c>
      <c r="Q63" s="71">
        <f t="shared" si="32"/>
        <v>890</v>
      </c>
      <c r="R63" s="71">
        <f t="shared" si="32"/>
        <v>1090</v>
      </c>
      <c r="S63" s="71">
        <f t="shared" si="32"/>
        <v>0</v>
      </c>
      <c r="T63" s="71">
        <f t="shared" si="32"/>
        <v>0</v>
      </c>
      <c r="U63" s="71">
        <f t="shared" si="32"/>
        <v>0</v>
      </c>
      <c r="V63" s="71">
        <f t="shared" si="32"/>
        <v>0</v>
      </c>
      <c r="W63" s="160">
        <f t="shared" si="1"/>
        <v>3950</v>
      </c>
      <c r="X63" s="71">
        <f t="shared" si="32"/>
        <v>14651</v>
      </c>
      <c r="Y63" s="161">
        <f t="shared" si="2"/>
        <v>149187</v>
      </c>
      <c r="Z63" s="71">
        <f t="shared" si="32"/>
        <v>157044</v>
      </c>
      <c r="AA63" s="71">
        <f>SUM(AA64:AA65)</f>
        <v>0</v>
      </c>
      <c r="AB63" s="128">
        <f t="shared" si="4"/>
        <v>157044</v>
      </c>
      <c r="AC63" s="19"/>
      <c r="AD63" s="19"/>
    </row>
    <row r="64" spans="1:30" s="12" customFormat="1" ht="12" x14ac:dyDescent="0.15">
      <c r="A64" s="186" t="s">
        <v>42</v>
      </c>
      <c r="B64" s="187"/>
      <c r="C64" s="187"/>
      <c r="D64" s="187"/>
      <c r="E64" s="187"/>
      <c r="F64" s="187"/>
      <c r="G64" s="39">
        <v>6200</v>
      </c>
      <c r="H64" s="39"/>
      <c r="I64" s="39"/>
      <c r="J64" s="39"/>
      <c r="K64" s="39"/>
      <c r="L64" s="160">
        <f t="shared" si="6"/>
        <v>0</v>
      </c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160">
        <f t="shared" si="1"/>
        <v>0</v>
      </c>
      <c r="X64" s="39"/>
      <c r="Y64" s="161">
        <f t="shared" si="2"/>
        <v>6200</v>
      </c>
      <c r="Z64" s="87">
        <f t="shared" si="19"/>
        <v>6200</v>
      </c>
      <c r="AA64" s="39"/>
      <c r="AB64" s="126">
        <f t="shared" si="4"/>
        <v>6200</v>
      </c>
    </row>
    <row r="65" spans="1:30" s="12" customFormat="1" ht="12" x14ac:dyDescent="0.15">
      <c r="A65" s="192" t="s">
        <v>107</v>
      </c>
      <c r="B65" s="193"/>
      <c r="C65" s="193"/>
      <c r="D65" s="193"/>
      <c r="E65" s="193"/>
      <c r="F65" s="193"/>
      <c r="G65" s="39">
        <v>0</v>
      </c>
      <c r="H65" s="39"/>
      <c r="I65" s="39"/>
      <c r="J65" s="39"/>
      <c r="K65" s="39"/>
      <c r="L65" s="160">
        <f t="shared" si="6"/>
        <v>0</v>
      </c>
      <c r="M65" s="39"/>
      <c r="N65" s="39"/>
      <c r="O65" s="39">
        <v>220</v>
      </c>
      <c r="P65" s="39"/>
      <c r="Q65" s="39"/>
      <c r="R65" s="39"/>
      <c r="S65" s="39"/>
      <c r="T65" s="39"/>
      <c r="U65" s="39"/>
      <c r="V65" s="39"/>
      <c r="W65" s="160">
        <f t="shared" si="1"/>
        <v>220</v>
      </c>
      <c r="X65" s="39"/>
      <c r="Y65" s="161">
        <f t="shared" si="2"/>
        <v>220</v>
      </c>
      <c r="Z65" s="87">
        <f t="shared" si="19"/>
        <v>440</v>
      </c>
      <c r="AA65" s="97"/>
      <c r="AB65" s="126">
        <f t="shared" si="4"/>
        <v>440</v>
      </c>
    </row>
    <row r="66" spans="1:30" s="12" customFormat="1" ht="12" x14ac:dyDescent="0.15">
      <c r="A66" s="148"/>
      <c r="B66" s="149"/>
      <c r="C66" s="149"/>
      <c r="D66" s="149" t="s">
        <v>93</v>
      </c>
      <c r="E66" s="149" t="s">
        <v>152</v>
      </c>
      <c r="F66" s="149"/>
      <c r="G66" s="39">
        <v>120479</v>
      </c>
      <c r="H66" s="39">
        <v>3426</v>
      </c>
      <c r="I66" s="39">
        <v>0</v>
      </c>
      <c r="J66" s="39">
        <v>49</v>
      </c>
      <c r="K66" s="39">
        <v>432</v>
      </c>
      <c r="L66" s="160">
        <f t="shared" si="6"/>
        <v>3907</v>
      </c>
      <c r="M66" s="39">
        <v>1061</v>
      </c>
      <c r="N66" s="39">
        <v>689</v>
      </c>
      <c r="O66" s="39">
        <v>0</v>
      </c>
      <c r="P66" s="39">
        <v>0</v>
      </c>
      <c r="Q66" s="39">
        <v>890</v>
      </c>
      <c r="R66" s="39">
        <v>1090</v>
      </c>
      <c r="S66" s="39">
        <v>0</v>
      </c>
      <c r="T66" s="39">
        <v>0</v>
      </c>
      <c r="U66" s="39">
        <v>0</v>
      </c>
      <c r="V66" s="39">
        <v>0</v>
      </c>
      <c r="W66" s="160">
        <f t="shared" si="1"/>
        <v>3730</v>
      </c>
      <c r="X66" s="39">
        <v>14651</v>
      </c>
      <c r="Y66" s="161">
        <f t="shared" si="2"/>
        <v>142767</v>
      </c>
      <c r="Z66" s="87">
        <f t="shared" si="19"/>
        <v>150404</v>
      </c>
      <c r="AA66" s="97">
        <v>142767</v>
      </c>
      <c r="AB66" s="126">
        <v>113203</v>
      </c>
    </row>
    <row r="67" spans="1:30" s="12" customFormat="1" ht="12" x14ac:dyDescent="0.15">
      <c r="A67" s="148"/>
      <c r="B67" s="149"/>
      <c r="C67" s="149"/>
      <c r="D67" s="149" t="s">
        <v>93</v>
      </c>
      <c r="E67" s="149" t="s">
        <v>150</v>
      </c>
      <c r="F67" s="149"/>
      <c r="G67" s="160">
        <v>34633</v>
      </c>
      <c r="H67" s="160">
        <v>985</v>
      </c>
      <c r="I67" s="160">
        <v>0</v>
      </c>
      <c r="J67" s="160">
        <v>14</v>
      </c>
      <c r="K67" s="160">
        <v>124</v>
      </c>
      <c r="L67" s="160">
        <f t="shared" si="6"/>
        <v>1123</v>
      </c>
      <c r="M67" s="160">
        <v>305</v>
      </c>
      <c r="N67" s="160">
        <v>198</v>
      </c>
      <c r="O67" s="160">
        <v>0</v>
      </c>
      <c r="P67" s="160">
        <v>0</v>
      </c>
      <c r="Q67" s="160">
        <v>256</v>
      </c>
      <c r="R67" s="160">
        <v>313</v>
      </c>
      <c r="S67" s="160">
        <v>0</v>
      </c>
      <c r="T67" s="160">
        <v>0</v>
      </c>
      <c r="U67" s="160">
        <v>0</v>
      </c>
      <c r="V67" s="160">
        <v>0</v>
      </c>
      <c r="W67" s="160">
        <f t="shared" si="1"/>
        <v>1072</v>
      </c>
      <c r="X67" s="160">
        <v>4212</v>
      </c>
      <c r="Y67" s="161">
        <f t="shared" si="2"/>
        <v>41040</v>
      </c>
      <c r="Z67" s="161">
        <f>SUM(G67:X67)</f>
        <v>43235</v>
      </c>
      <c r="AA67" s="97"/>
      <c r="AB67" s="126"/>
    </row>
    <row r="68" spans="1:30" s="12" customFormat="1" ht="12" x14ac:dyDescent="0.15">
      <c r="A68" s="148"/>
      <c r="B68" s="149"/>
      <c r="C68" s="149"/>
      <c r="D68" s="149" t="s">
        <v>93</v>
      </c>
      <c r="E68" s="149" t="s">
        <v>151</v>
      </c>
      <c r="F68" s="149"/>
      <c r="G68" s="160">
        <v>85846</v>
      </c>
      <c r="H68" s="160">
        <v>2441</v>
      </c>
      <c r="I68" s="160">
        <v>0</v>
      </c>
      <c r="J68" s="160">
        <v>35</v>
      </c>
      <c r="K68" s="160">
        <v>308</v>
      </c>
      <c r="L68" s="160">
        <f t="shared" si="6"/>
        <v>2784</v>
      </c>
      <c r="M68" s="160">
        <v>756</v>
      </c>
      <c r="N68" s="160">
        <v>491</v>
      </c>
      <c r="O68" s="160">
        <v>0</v>
      </c>
      <c r="P68" s="160">
        <v>0</v>
      </c>
      <c r="Q68" s="160">
        <v>634</v>
      </c>
      <c r="R68" s="162">
        <v>777</v>
      </c>
      <c r="S68" s="160">
        <v>0</v>
      </c>
      <c r="T68" s="160">
        <v>0</v>
      </c>
      <c r="U68" s="160">
        <v>0</v>
      </c>
      <c r="V68" s="160">
        <v>0</v>
      </c>
      <c r="W68" s="160">
        <f t="shared" si="1"/>
        <v>2658</v>
      </c>
      <c r="X68" s="160">
        <v>10439</v>
      </c>
      <c r="Y68" s="161">
        <f t="shared" si="2"/>
        <v>101727</v>
      </c>
      <c r="Z68" s="161">
        <f>SUM(G68:X68)</f>
        <v>107169</v>
      </c>
      <c r="AA68" s="97"/>
      <c r="AB68" s="126"/>
    </row>
    <row r="69" spans="1:30" s="20" customFormat="1" ht="12" x14ac:dyDescent="0.15">
      <c r="A69" s="188" t="s">
        <v>77</v>
      </c>
      <c r="B69" s="189"/>
      <c r="C69" s="189"/>
      <c r="D69" s="189"/>
      <c r="E69" s="189"/>
      <c r="F69" s="189"/>
      <c r="G69" s="71">
        <v>1688</v>
      </c>
      <c r="H69" s="71">
        <v>48</v>
      </c>
      <c r="I69" s="71">
        <v>0</v>
      </c>
      <c r="J69" s="71">
        <v>1</v>
      </c>
      <c r="K69" s="71">
        <v>6</v>
      </c>
      <c r="L69" s="160">
        <f t="shared" si="6"/>
        <v>55</v>
      </c>
      <c r="M69" s="71">
        <v>15</v>
      </c>
      <c r="N69" s="71">
        <v>10</v>
      </c>
      <c r="O69" s="71">
        <v>0</v>
      </c>
      <c r="P69" s="71">
        <v>0</v>
      </c>
      <c r="Q69" s="71">
        <v>12</v>
      </c>
      <c r="R69" s="71">
        <v>15</v>
      </c>
      <c r="S69" s="71">
        <v>0</v>
      </c>
      <c r="T69" s="71">
        <v>0</v>
      </c>
      <c r="U69" s="71">
        <v>0</v>
      </c>
      <c r="V69" s="71">
        <v>0</v>
      </c>
      <c r="W69" s="160">
        <f t="shared" si="1"/>
        <v>52</v>
      </c>
      <c r="X69" s="71">
        <v>205</v>
      </c>
      <c r="Y69" s="161">
        <f t="shared" si="2"/>
        <v>2000</v>
      </c>
      <c r="Z69" s="127">
        <f t="shared" si="19"/>
        <v>2107</v>
      </c>
      <c r="AA69" s="71">
        <v>2000</v>
      </c>
      <c r="AB69" s="128">
        <f t="shared" si="4"/>
        <v>4107</v>
      </c>
      <c r="AC69" s="19"/>
      <c r="AD69" s="19"/>
    </row>
    <row r="70" spans="1:30" s="20" customFormat="1" ht="12" x14ac:dyDescent="0.15">
      <c r="A70" s="190" t="s">
        <v>43</v>
      </c>
      <c r="B70" s="191"/>
      <c r="C70" s="191"/>
      <c r="D70" s="191"/>
      <c r="E70" s="191"/>
      <c r="F70" s="191"/>
      <c r="G70" s="71">
        <f>SUM(G71:G73)</f>
        <v>476761</v>
      </c>
      <c r="H70" s="71">
        <f t="shared" ref="H70:X70" si="33">SUM(H71:H73)</f>
        <v>13558</v>
      </c>
      <c r="I70" s="71">
        <f t="shared" si="33"/>
        <v>0</v>
      </c>
      <c r="J70" s="71">
        <f t="shared" si="33"/>
        <v>193</v>
      </c>
      <c r="K70" s="71">
        <f t="shared" si="33"/>
        <v>1709</v>
      </c>
      <c r="L70" s="160">
        <f t="shared" si="6"/>
        <v>15460</v>
      </c>
      <c r="M70" s="71">
        <f t="shared" si="33"/>
        <v>4200</v>
      </c>
      <c r="N70" s="71">
        <f t="shared" si="33"/>
        <v>2728</v>
      </c>
      <c r="O70" s="71">
        <f t="shared" si="33"/>
        <v>0</v>
      </c>
      <c r="P70" s="71">
        <f t="shared" si="33"/>
        <v>0</v>
      </c>
      <c r="Q70" s="71">
        <f t="shared" si="33"/>
        <v>3523</v>
      </c>
      <c r="R70" s="71">
        <f t="shared" si="33"/>
        <v>4311</v>
      </c>
      <c r="S70" s="71">
        <f t="shared" si="33"/>
        <v>0</v>
      </c>
      <c r="T70" s="71">
        <f t="shared" si="33"/>
        <v>0</v>
      </c>
      <c r="U70" s="71">
        <f t="shared" si="33"/>
        <v>0</v>
      </c>
      <c r="V70" s="71">
        <f t="shared" si="33"/>
        <v>0</v>
      </c>
      <c r="W70" s="160">
        <f t="shared" si="1"/>
        <v>14762</v>
      </c>
      <c r="X70" s="71">
        <f t="shared" si="33"/>
        <v>76337</v>
      </c>
      <c r="Y70" s="161">
        <f t="shared" si="2"/>
        <v>583320</v>
      </c>
      <c r="Z70" s="127">
        <f t="shared" si="19"/>
        <v>613542</v>
      </c>
      <c r="AA70" s="71">
        <f>SUM(AA71:AA73)</f>
        <v>583320</v>
      </c>
      <c r="AB70" s="128">
        <f t="shared" si="4"/>
        <v>1196862</v>
      </c>
      <c r="AC70" s="19"/>
      <c r="AD70" s="19"/>
    </row>
    <row r="71" spans="1:30" s="12" customFormat="1" ht="12" x14ac:dyDescent="0.15">
      <c r="A71" s="186" t="s">
        <v>44</v>
      </c>
      <c r="B71" s="187"/>
      <c r="C71" s="187"/>
      <c r="D71" s="187"/>
      <c r="E71" s="187"/>
      <c r="F71" s="187"/>
      <c r="G71" s="39"/>
      <c r="H71" s="39"/>
      <c r="I71" s="39"/>
      <c r="J71" s="39"/>
      <c r="K71" s="39"/>
      <c r="L71" s="160">
        <f t="shared" si="6"/>
        <v>0</v>
      </c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160">
        <f t="shared" si="1"/>
        <v>0</v>
      </c>
      <c r="X71" s="39">
        <v>18360</v>
      </c>
      <c r="Y71" s="161">
        <f t="shared" si="2"/>
        <v>18360</v>
      </c>
      <c r="Z71" s="87">
        <f t="shared" si="19"/>
        <v>18360</v>
      </c>
      <c r="AA71" s="39">
        <v>18360</v>
      </c>
      <c r="AB71" s="126">
        <f t="shared" si="4"/>
        <v>36720</v>
      </c>
    </row>
    <row r="72" spans="1:30" s="12" customFormat="1" ht="12" x14ac:dyDescent="0.15">
      <c r="A72" s="188" t="s">
        <v>55</v>
      </c>
      <c r="B72" s="189"/>
      <c r="C72" s="189"/>
      <c r="D72" s="189"/>
      <c r="E72" s="189"/>
      <c r="F72" s="189"/>
      <c r="G72" s="39">
        <v>356457</v>
      </c>
      <c r="H72" s="39">
        <v>10137</v>
      </c>
      <c r="I72" s="39">
        <v>0</v>
      </c>
      <c r="J72" s="39">
        <v>144</v>
      </c>
      <c r="K72" s="39">
        <v>1278</v>
      </c>
      <c r="L72" s="160">
        <f t="shared" si="6"/>
        <v>11559</v>
      </c>
      <c r="M72" s="39">
        <v>3140</v>
      </c>
      <c r="N72" s="39">
        <v>2040</v>
      </c>
      <c r="O72" s="39">
        <v>0</v>
      </c>
      <c r="P72" s="39">
        <v>0</v>
      </c>
      <c r="Q72" s="39">
        <v>2634</v>
      </c>
      <c r="R72" s="39">
        <v>3223</v>
      </c>
      <c r="S72" s="39">
        <v>0</v>
      </c>
      <c r="T72" s="39">
        <v>0</v>
      </c>
      <c r="U72" s="39">
        <v>0</v>
      </c>
      <c r="V72" s="39">
        <v>0</v>
      </c>
      <c r="W72" s="160">
        <f t="shared" si="1"/>
        <v>11037</v>
      </c>
      <c r="X72" s="39">
        <v>43347</v>
      </c>
      <c r="Y72" s="161">
        <f t="shared" si="2"/>
        <v>422400</v>
      </c>
      <c r="Z72" s="87">
        <f t="shared" si="19"/>
        <v>444996</v>
      </c>
      <c r="AA72" s="39">
        <v>422400</v>
      </c>
      <c r="AB72" s="126">
        <f t="shared" si="4"/>
        <v>867396</v>
      </c>
    </row>
    <row r="73" spans="1:30" s="12" customFormat="1" ht="12" x14ac:dyDescent="0.15">
      <c r="A73" s="188" t="s">
        <v>56</v>
      </c>
      <c r="B73" s="189"/>
      <c r="C73" s="189"/>
      <c r="D73" s="189"/>
      <c r="E73" s="189"/>
      <c r="F73" s="189"/>
      <c r="G73" s="39">
        <v>120304</v>
      </c>
      <c r="H73" s="39">
        <v>3421</v>
      </c>
      <c r="I73" s="39">
        <v>0</v>
      </c>
      <c r="J73" s="39">
        <v>49</v>
      </c>
      <c r="K73" s="39">
        <v>431</v>
      </c>
      <c r="L73" s="160">
        <f t="shared" si="6"/>
        <v>3901</v>
      </c>
      <c r="M73" s="39">
        <v>1060</v>
      </c>
      <c r="N73" s="39">
        <v>688</v>
      </c>
      <c r="O73" s="39">
        <v>0</v>
      </c>
      <c r="P73" s="39">
        <v>0</v>
      </c>
      <c r="Q73" s="39">
        <v>889</v>
      </c>
      <c r="R73" s="39">
        <v>1088</v>
      </c>
      <c r="S73" s="39">
        <v>0</v>
      </c>
      <c r="T73" s="39">
        <v>0</v>
      </c>
      <c r="U73" s="39">
        <v>0</v>
      </c>
      <c r="V73" s="39">
        <v>0</v>
      </c>
      <c r="W73" s="160">
        <f t="shared" si="1"/>
        <v>3725</v>
      </c>
      <c r="X73" s="39">
        <v>14630</v>
      </c>
      <c r="Y73" s="161">
        <f t="shared" si="2"/>
        <v>142560</v>
      </c>
      <c r="Z73" s="87">
        <f t="shared" si="19"/>
        <v>150186</v>
      </c>
      <c r="AA73" s="39">
        <v>142560</v>
      </c>
      <c r="AB73" s="126">
        <f t="shared" si="4"/>
        <v>292746</v>
      </c>
    </row>
    <row r="74" spans="1:30" s="20" customFormat="1" ht="12" x14ac:dyDescent="0.15">
      <c r="A74" s="190" t="s">
        <v>45</v>
      </c>
      <c r="B74" s="191"/>
      <c r="C74" s="191"/>
      <c r="D74" s="191"/>
      <c r="E74" s="191"/>
      <c r="F74" s="191"/>
      <c r="G74" s="71">
        <v>48000</v>
      </c>
      <c r="H74" s="71"/>
      <c r="I74" s="71"/>
      <c r="J74" s="71"/>
      <c r="K74" s="71"/>
      <c r="L74" s="160">
        <f t="shared" si="6"/>
        <v>0</v>
      </c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160">
        <f t="shared" si="1"/>
        <v>0</v>
      </c>
      <c r="X74" s="71">
        <v>113000</v>
      </c>
      <c r="Y74" s="161">
        <f t="shared" si="2"/>
        <v>161000</v>
      </c>
      <c r="Z74" s="127">
        <f t="shared" si="19"/>
        <v>161000</v>
      </c>
      <c r="AA74" s="71">
        <v>113000</v>
      </c>
      <c r="AB74" s="128">
        <f t="shared" si="4"/>
        <v>274000</v>
      </c>
      <c r="AC74" s="19"/>
      <c r="AD74" s="19"/>
    </row>
    <row r="75" spans="1:30" s="20" customFormat="1" ht="7.5" customHeight="1" x14ac:dyDescent="0.15">
      <c r="A75" s="190" t="s">
        <v>57</v>
      </c>
      <c r="B75" s="191"/>
      <c r="C75" s="191"/>
      <c r="D75" s="191"/>
      <c r="E75" s="191"/>
      <c r="F75" s="191"/>
      <c r="G75" s="71">
        <f>SUM(G76)</f>
        <v>0</v>
      </c>
      <c r="H75" s="71">
        <f t="shared" ref="H75:X75" si="34">SUM(H76)</f>
        <v>0</v>
      </c>
      <c r="I75" s="71">
        <f t="shared" si="34"/>
        <v>0</v>
      </c>
      <c r="J75" s="71">
        <f t="shared" si="34"/>
        <v>0</v>
      </c>
      <c r="K75" s="71">
        <f t="shared" si="34"/>
        <v>0</v>
      </c>
      <c r="L75" s="160">
        <f t="shared" si="6"/>
        <v>0</v>
      </c>
      <c r="M75" s="71">
        <f t="shared" si="34"/>
        <v>0</v>
      </c>
      <c r="N75" s="71">
        <f t="shared" si="34"/>
        <v>0</v>
      </c>
      <c r="O75" s="71">
        <f t="shared" si="34"/>
        <v>0</v>
      </c>
      <c r="P75" s="71">
        <f t="shared" si="34"/>
        <v>0</v>
      </c>
      <c r="Q75" s="71">
        <f t="shared" si="34"/>
        <v>0</v>
      </c>
      <c r="R75" s="71">
        <f t="shared" si="34"/>
        <v>0</v>
      </c>
      <c r="S75" s="71">
        <f t="shared" si="34"/>
        <v>0</v>
      </c>
      <c r="T75" s="71">
        <f t="shared" si="34"/>
        <v>0</v>
      </c>
      <c r="U75" s="71">
        <f t="shared" si="34"/>
        <v>0</v>
      </c>
      <c r="V75" s="71">
        <f t="shared" si="34"/>
        <v>0</v>
      </c>
      <c r="W75" s="160">
        <f t="shared" ref="W75:W99" si="35">SUM(M75:V75)</f>
        <v>0</v>
      </c>
      <c r="X75" s="71">
        <f t="shared" si="34"/>
        <v>13000</v>
      </c>
      <c r="Y75" s="161">
        <f t="shared" ref="Y75:Y99" si="36">G75+L75+W75+X75</f>
        <v>13000</v>
      </c>
      <c r="Z75" s="127">
        <f t="shared" si="19"/>
        <v>13000</v>
      </c>
      <c r="AA75" s="71">
        <f>AA76</f>
        <v>13000</v>
      </c>
      <c r="AB75" s="128">
        <f t="shared" si="4"/>
        <v>26000</v>
      </c>
      <c r="AC75" s="19"/>
      <c r="AD75" s="19"/>
    </row>
    <row r="76" spans="1:30" s="12" customFormat="1" ht="7.5" customHeight="1" x14ac:dyDescent="0.15">
      <c r="A76" s="186" t="s">
        <v>54</v>
      </c>
      <c r="B76" s="187"/>
      <c r="C76" s="187"/>
      <c r="D76" s="187"/>
      <c r="E76" s="187"/>
      <c r="F76" s="187"/>
      <c r="G76" s="39"/>
      <c r="H76" s="39"/>
      <c r="I76" s="39"/>
      <c r="J76" s="39"/>
      <c r="K76" s="39"/>
      <c r="L76" s="160">
        <f t="shared" ref="L76:L99" si="37">SUM(H76+J76+K76)</f>
        <v>0</v>
      </c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160">
        <f t="shared" si="35"/>
        <v>0</v>
      </c>
      <c r="X76" s="39">
        <v>13000</v>
      </c>
      <c r="Y76" s="161">
        <f t="shared" si="36"/>
        <v>13000</v>
      </c>
      <c r="Z76" s="87">
        <f t="shared" si="19"/>
        <v>13000</v>
      </c>
      <c r="AA76" s="39">
        <v>13000</v>
      </c>
      <c r="AB76" s="126">
        <f t="shared" si="4"/>
        <v>26000</v>
      </c>
    </row>
    <row r="77" spans="1:30" s="20" customFormat="1" ht="12" x14ac:dyDescent="0.15">
      <c r="A77" s="190" t="s">
        <v>82</v>
      </c>
      <c r="B77" s="191"/>
      <c r="C77" s="191"/>
      <c r="D77" s="191"/>
      <c r="E77" s="191"/>
      <c r="F77" s="191"/>
      <c r="G77" s="71"/>
      <c r="H77" s="71"/>
      <c r="I77" s="71"/>
      <c r="J77" s="71"/>
      <c r="K77" s="71"/>
      <c r="L77" s="160">
        <f t="shared" si="37"/>
        <v>0</v>
      </c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160">
        <f t="shared" si="35"/>
        <v>0</v>
      </c>
      <c r="X77" s="71">
        <v>21200</v>
      </c>
      <c r="Y77" s="161">
        <f t="shared" si="36"/>
        <v>21200</v>
      </c>
      <c r="Z77" s="127">
        <f t="shared" si="19"/>
        <v>21200</v>
      </c>
      <c r="AA77" s="71">
        <v>21200</v>
      </c>
      <c r="AB77" s="128">
        <f t="shared" si="4"/>
        <v>42400</v>
      </c>
      <c r="AC77" s="19"/>
      <c r="AD77" s="19"/>
    </row>
    <row r="78" spans="1:30" s="20" customFormat="1" ht="12" x14ac:dyDescent="0.15">
      <c r="A78" s="190" t="s">
        <v>46</v>
      </c>
      <c r="B78" s="191"/>
      <c r="C78" s="191"/>
      <c r="D78" s="191"/>
      <c r="E78" s="191"/>
      <c r="F78" s="191"/>
      <c r="G78" s="71">
        <v>91290</v>
      </c>
      <c r="H78" s="71"/>
      <c r="I78" s="71"/>
      <c r="J78" s="71"/>
      <c r="K78" s="71"/>
      <c r="L78" s="160">
        <f t="shared" si="37"/>
        <v>0</v>
      </c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160">
        <f t="shared" si="35"/>
        <v>0</v>
      </c>
      <c r="X78" s="71">
        <v>0</v>
      </c>
      <c r="Y78" s="161">
        <f t="shared" si="36"/>
        <v>91290</v>
      </c>
      <c r="Z78" s="127">
        <f t="shared" si="19"/>
        <v>91290</v>
      </c>
      <c r="AA78" s="71">
        <v>0</v>
      </c>
      <c r="AB78" s="128">
        <f t="shared" si="4"/>
        <v>91290</v>
      </c>
      <c r="AC78" s="19"/>
      <c r="AD78" s="19"/>
    </row>
    <row r="79" spans="1:30" s="20" customFormat="1" ht="12" x14ac:dyDescent="0.15">
      <c r="A79" s="190" t="s">
        <v>80</v>
      </c>
      <c r="B79" s="191"/>
      <c r="C79" s="191"/>
      <c r="D79" s="191"/>
      <c r="E79" s="191"/>
      <c r="F79" s="191"/>
      <c r="G79" s="71"/>
      <c r="H79" s="71">
        <v>56000</v>
      </c>
      <c r="I79" s="71"/>
      <c r="J79" s="71"/>
      <c r="K79" s="71"/>
      <c r="L79" s="160">
        <f t="shared" si="37"/>
        <v>56000</v>
      </c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60">
        <f t="shared" si="35"/>
        <v>0</v>
      </c>
      <c r="X79" s="71"/>
      <c r="Y79" s="161">
        <f t="shared" si="36"/>
        <v>56000</v>
      </c>
      <c r="Z79" s="127">
        <f t="shared" si="19"/>
        <v>112000</v>
      </c>
      <c r="AA79" s="71">
        <v>0</v>
      </c>
      <c r="AB79" s="128">
        <f t="shared" si="4"/>
        <v>112000</v>
      </c>
      <c r="AC79" s="19"/>
      <c r="AD79" s="19"/>
    </row>
    <row r="80" spans="1:30" s="20" customFormat="1" ht="12" x14ac:dyDescent="0.15">
      <c r="A80" s="190" t="s">
        <v>144</v>
      </c>
      <c r="B80" s="191"/>
      <c r="C80" s="191"/>
      <c r="D80" s="191"/>
      <c r="E80" s="191"/>
      <c r="F80" s="191"/>
      <c r="G80" s="71"/>
      <c r="H80" s="71"/>
      <c r="I80" s="71"/>
      <c r="J80" s="71"/>
      <c r="K80" s="71">
        <v>9080000</v>
      </c>
      <c r="L80" s="160">
        <f t="shared" si="37"/>
        <v>9080000</v>
      </c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160">
        <f t="shared" si="35"/>
        <v>0</v>
      </c>
      <c r="X80" s="71"/>
      <c r="Y80" s="161">
        <f t="shared" si="36"/>
        <v>9080000</v>
      </c>
      <c r="Z80" s="127">
        <f t="shared" si="19"/>
        <v>18160000</v>
      </c>
      <c r="AA80" s="71"/>
      <c r="AB80" s="128"/>
      <c r="AC80" s="19"/>
      <c r="AD80" s="19"/>
    </row>
    <row r="81" spans="1:30" s="20" customFormat="1" ht="12" x14ac:dyDescent="0.15">
      <c r="A81" s="190" t="s">
        <v>58</v>
      </c>
      <c r="B81" s="191"/>
      <c r="C81" s="191"/>
      <c r="D81" s="191"/>
      <c r="E81" s="191"/>
      <c r="F81" s="191"/>
      <c r="G81" s="71"/>
      <c r="H81" s="71"/>
      <c r="I81" s="71"/>
      <c r="J81" s="71"/>
      <c r="K81" s="71"/>
      <c r="L81" s="160">
        <f t="shared" si="37"/>
        <v>0</v>
      </c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160">
        <f t="shared" si="35"/>
        <v>0</v>
      </c>
      <c r="X81" s="71">
        <v>6912</v>
      </c>
      <c r="Y81" s="161">
        <f t="shared" si="36"/>
        <v>6912</v>
      </c>
      <c r="Z81" s="127">
        <f t="shared" si="19"/>
        <v>6912</v>
      </c>
      <c r="AA81" s="131">
        <v>6912</v>
      </c>
      <c r="AB81" s="128">
        <f t="shared" si="4"/>
        <v>13824</v>
      </c>
      <c r="AC81" s="19"/>
      <c r="AD81" s="19"/>
    </row>
    <row r="82" spans="1:30" s="12" customFormat="1" ht="12" x14ac:dyDescent="0.15">
      <c r="A82" s="186" t="s">
        <v>59</v>
      </c>
      <c r="B82" s="187"/>
      <c r="C82" s="187"/>
      <c r="D82" s="187"/>
      <c r="E82" s="187"/>
      <c r="F82" s="187"/>
      <c r="G82" s="72">
        <f>G35+G36+G40+G41+G42+G48+G49+G53+G58+G59+G62+G63+G69+G70+G74+G75+G77+G78+G79+G80+G81</f>
        <v>6727798</v>
      </c>
      <c r="H82" s="72">
        <f t="shared" ref="H82:Z82" si="38">H35+H36+H40+H41+H42+H48+H49+H53+H58+H59+H62+H63+H69+H70+H74+H75+H77+H78+H79+H80+H81</f>
        <v>277782</v>
      </c>
      <c r="I82" s="72">
        <f t="shared" si="38"/>
        <v>0</v>
      </c>
      <c r="J82" s="72">
        <f t="shared" si="38"/>
        <v>3551</v>
      </c>
      <c r="K82" s="72">
        <f t="shared" si="38"/>
        <v>9118831</v>
      </c>
      <c r="L82" s="168">
        <f t="shared" si="37"/>
        <v>9400164</v>
      </c>
      <c r="M82" s="72">
        <f t="shared" si="38"/>
        <v>58289</v>
      </c>
      <c r="N82" s="72">
        <f t="shared" si="38"/>
        <v>36699</v>
      </c>
      <c r="O82" s="72">
        <f t="shared" si="38"/>
        <v>64498</v>
      </c>
      <c r="P82" s="72">
        <f t="shared" si="38"/>
        <v>0</v>
      </c>
      <c r="Q82" s="72">
        <f t="shared" si="38"/>
        <v>48341</v>
      </c>
      <c r="R82" s="72">
        <f t="shared" si="38"/>
        <v>63720</v>
      </c>
      <c r="S82" s="72">
        <f t="shared" si="38"/>
        <v>0</v>
      </c>
      <c r="T82" s="72">
        <f t="shared" si="38"/>
        <v>140</v>
      </c>
      <c r="U82" s="72">
        <f t="shared" si="38"/>
        <v>82</v>
      </c>
      <c r="V82" s="72">
        <f t="shared" si="38"/>
        <v>3998</v>
      </c>
      <c r="W82" s="168">
        <f t="shared" si="35"/>
        <v>275767</v>
      </c>
      <c r="X82" s="72">
        <f t="shared" si="38"/>
        <v>1660356</v>
      </c>
      <c r="Y82" s="168">
        <f t="shared" si="36"/>
        <v>18064085</v>
      </c>
      <c r="Z82" s="72">
        <f t="shared" si="38"/>
        <v>27740016</v>
      </c>
      <c r="AA82" s="23">
        <f>AA35+AA36+AA40+AA41+AA42+AA48+AA49+AA53+AA59+AA62+AA63+AA69+AA70+AA74+AA75+AA77+AA78+AA79+AA81+AA58</f>
        <v>8111396</v>
      </c>
      <c r="AB82" s="31">
        <f>SUM(Z82:AA82)</f>
        <v>35851412</v>
      </c>
    </row>
    <row r="83" spans="1:30" s="12" customFormat="1" ht="12" x14ac:dyDescent="0.15">
      <c r="A83" s="180" t="s">
        <v>60</v>
      </c>
      <c r="B83" s="181"/>
      <c r="C83" s="181"/>
      <c r="D83" s="181"/>
      <c r="E83" s="181"/>
      <c r="F83" s="181"/>
      <c r="G83" s="40">
        <f>SUM(G26-G82)</f>
        <v>-1717798</v>
      </c>
      <c r="H83" s="40">
        <f t="shared" ref="H83:AA83" si="39">SUM(H26-H82)</f>
        <v>-25282</v>
      </c>
      <c r="I83" s="40">
        <f t="shared" si="39"/>
        <v>0</v>
      </c>
      <c r="J83" s="40">
        <f t="shared" si="39"/>
        <v>-911</v>
      </c>
      <c r="K83" s="40">
        <f t="shared" si="39"/>
        <v>-38831</v>
      </c>
      <c r="L83" s="168">
        <f t="shared" si="37"/>
        <v>-65024</v>
      </c>
      <c r="M83" s="40">
        <f t="shared" si="39"/>
        <v>-54530</v>
      </c>
      <c r="N83" s="40">
        <f t="shared" si="39"/>
        <v>-36699</v>
      </c>
      <c r="O83" s="40">
        <f t="shared" si="39"/>
        <v>0</v>
      </c>
      <c r="P83" s="40">
        <f t="shared" si="39"/>
        <v>0</v>
      </c>
      <c r="Q83" s="40">
        <f t="shared" si="39"/>
        <v>-28431</v>
      </c>
      <c r="R83" s="40">
        <f t="shared" si="39"/>
        <v>-61190</v>
      </c>
      <c r="S83" s="40">
        <f t="shared" si="39"/>
        <v>0</v>
      </c>
      <c r="T83" s="40">
        <f t="shared" si="39"/>
        <v>-140</v>
      </c>
      <c r="U83" s="40">
        <f t="shared" si="39"/>
        <v>-82</v>
      </c>
      <c r="V83" s="40">
        <f t="shared" si="39"/>
        <v>-3998</v>
      </c>
      <c r="W83" s="168">
        <f t="shared" si="35"/>
        <v>-185070</v>
      </c>
      <c r="X83" s="40">
        <f t="shared" si="39"/>
        <v>2240081</v>
      </c>
      <c r="Y83" s="168">
        <f t="shared" si="36"/>
        <v>272189</v>
      </c>
      <c r="Z83" s="40">
        <f t="shared" si="39"/>
        <v>22095</v>
      </c>
      <c r="AA83" s="40">
        <f t="shared" si="39"/>
        <v>-8111396</v>
      </c>
      <c r="AB83" s="26">
        <f>AB35+AB36+AB40+AB41+AB42+AB48+AB49+AB53+AB58+AB59+AB63+AB69+AB70+AB74+AB75+AB77+AB78+AB79+AB81+AB62</f>
        <v>17691412</v>
      </c>
    </row>
    <row r="84" spans="1:30" s="12" customFormat="1" ht="12" x14ac:dyDescent="0.15">
      <c r="A84" s="184" t="s">
        <v>61</v>
      </c>
      <c r="B84" s="185"/>
      <c r="C84" s="185"/>
      <c r="D84" s="185"/>
      <c r="E84" s="185"/>
      <c r="F84" s="185"/>
      <c r="G84" s="78"/>
      <c r="H84" s="78"/>
      <c r="I84" s="78"/>
      <c r="J84" s="78"/>
      <c r="K84" s="78"/>
      <c r="L84" s="168">
        <f t="shared" si="37"/>
        <v>0</v>
      </c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168">
        <f t="shared" si="35"/>
        <v>0</v>
      </c>
      <c r="X84" s="78"/>
      <c r="Y84" s="168">
        <f t="shared" si="36"/>
        <v>0</v>
      </c>
      <c r="Z84" s="78"/>
    </row>
    <row r="85" spans="1:30" s="12" customFormat="1" ht="12" x14ac:dyDescent="0.15">
      <c r="A85" s="180" t="s">
        <v>62</v>
      </c>
      <c r="B85" s="181"/>
      <c r="C85" s="181"/>
      <c r="D85" s="181"/>
      <c r="E85" s="181"/>
      <c r="F85" s="181"/>
      <c r="G85" s="24">
        <v>3696676</v>
      </c>
      <c r="H85" s="24">
        <v>-37301</v>
      </c>
      <c r="I85" s="24">
        <v>0</v>
      </c>
      <c r="J85" s="24">
        <v>-830</v>
      </c>
      <c r="K85" s="24">
        <v>-1080</v>
      </c>
      <c r="L85" s="168">
        <f t="shared" si="37"/>
        <v>-39211</v>
      </c>
      <c r="M85" s="24">
        <v>-8014</v>
      </c>
      <c r="N85" s="24">
        <v>-986</v>
      </c>
      <c r="O85" s="24">
        <v>40388</v>
      </c>
      <c r="P85" s="24">
        <v>-1994</v>
      </c>
      <c r="Q85" s="24">
        <v>226</v>
      </c>
      <c r="R85" s="24">
        <v>7491</v>
      </c>
      <c r="S85" s="24">
        <v>7491</v>
      </c>
      <c r="T85" s="24">
        <v>-38967</v>
      </c>
      <c r="U85" s="24">
        <v>-38967</v>
      </c>
      <c r="V85" s="24">
        <v>-38967</v>
      </c>
      <c r="W85" s="168">
        <f t="shared" si="35"/>
        <v>-72299</v>
      </c>
      <c r="X85" s="24">
        <v>-4238152</v>
      </c>
      <c r="Y85" s="168">
        <f t="shared" si="36"/>
        <v>-652986</v>
      </c>
      <c r="Z85" s="24">
        <v>-582543</v>
      </c>
      <c r="AA85" s="76">
        <f>SUM(Z82-Z26)+272189</f>
        <v>250094</v>
      </c>
      <c r="AB85" s="76">
        <f>SUM(Z82-Z34)</f>
        <v>0</v>
      </c>
    </row>
    <row r="86" spans="1:30" s="12" customFormat="1" ht="12" x14ac:dyDescent="0.15">
      <c r="A86" s="180" t="s">
        <v>63</v>
      </c>
      <c r="B86" s="181"/>
      <c r="C86" s="181"/>
      <c r="D86" s="181"/>
      <c r="E86" s="181"/>
      <c r="F86" s="181"/>
      <c r="G86" s="29"/>
      <c r="H86" s="29"/>
      <c r="I86" s="29"/>
      <c r="J86" s="29"/>
      <c r="K86" s="29"/>
      <c r="L86" s="160">
        <f t="shared" si="37"/>
        <v>0</v>
      </c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160">
        <f t="shared" si="35"/>
        <v>0</v>
      </c>
      <c r="X86" s="29"/>
      <c r="Y86" s="161">
        <f t="shared" si="36"/>
        <v>0</v>
      </c>
      <c r="Z86" s="30"/>
      <c r="AA86" s="80" t="s">
        <v>149</v>
      </c>
    </row>
    <row r="87" spans="1:30" s="12" customFormat="1" ht="12" x14ac:dyDescent="0.15">
      <c r="A87" s="180" t="s">
        <v>64</v>
      </c>
      <c r="B87" s="181"/>
      <c r="C87" s="181"/>
      <c r="D87" s="181"/>
      <c r="E87" s="181"/>
      <c r="F87" s="181"/>
      <c r="G87" s="29"/>
      <c r="H87" s="29"/>
      <c r="I87" s="29"/>
      <c r="J87" s="29"/>
      <c r="K87" s="29"/>
      <c r="L87" s="160">
        <f t="shared" si="37"/>
        <v>0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160">
        <f t="shared" si="35"/>
        <v>0</v>
      </c>
      <c r="X87" s="29"/>
      <c r="Y87" s="161">
        <f t="shared" si="36"/>
        <v>0</v>
      </c>
      <c r="Z87" s="30"/>
    </row>
    <row r="88" spans="1:30" s="12" customFormat="1" ht="12" x14ac:dyDescent="0.15">
      <c r="A88" s="180" t="s">
        <v>65</v>
      </c>
      <c r="B88" s="181"/>
      <c r="C88" s="181"/>
      <c r="D88" s="181"/>
      <c r="E88" s="181"/>
      <c r="F88" s="181"/>
      <c r="G88" s="24"/>
      <c r="H88" s="24"/>
      <c r="I88" s="24"/>
      <c r="J88" s="24"/>
      <c r="K88" s="24"/>
      <c r="L88" s="168">
        <f t="shared" si="37"/>
        <v>0</v>
      </c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168">
        <f t="shared" si="35"/>
        <v>0</v>
      </c>
      <c r="X88" s="24"/>
      <c r="Y88" s="168">
        <f t="shared" si="36"/>
        <v>0</v>
      </c>
      <c r="Z88" s="24"/>
    </row>
    <row r="89" spans="1:30" s="12" customFormat="1" ht="12" x14ac:dyDescent="0.15">
      <c r="A89" s="180" t="s">
        <v>66</v>
      </c>
      <c r="B89" s="181"/>
      <c r="C89" s="181"/>
      <c r="D89" s="181"/>
      <c r="E89" s="181"/>
      <c r="F89" s="181"/>
      <c r="G89" s="27"/>
      <c r="H89" s="27"/>
      <c r="I89" s="27"/>
      <c r="J89" s="27"/>
      <c r="K89" s="171"/>
      <c r="L89" s="168">
        <f t="shared" si="37"/>
        <v>0</v>
      </c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8">
        <f t="shared" si="35"/>
        <v>0</v>
      </c>
      <c r="X89" s="171"/>
      <c r="Y89" s="168">
        <f t="shared" si="36"/>
        <v>0</v>
      </c>
      <c r="Z89" s="171"/>
    </row>
    <row r="90" spans="1:30" s="12" customFormat="1" ht="12" x14ac:dyDescent="0.15">
      <c r="A90" s="180" t="s">
        <v>67</v>
      </c>
      <c r="B90" s="181"/>
      <c r="C90" s="181"/>
      <c r="D90" s="181"/>
      <c r="E90" s="181"/>
      <c r="F90" s="181"/>
      <c r="G90" s="24"/>
      <c r="H90" s="24"/>
      <c r="I90" s="24"/>
      <c r="J90" s="24"/>
      <c r="K90" s="24"/>
      <c r="L90" s="168">
        <f t="shared" si="37"/>
        <v>0</v>
      </c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168">
        <f t="shared" si="35"/>
        <v>0</v>
      </c>
      <c r="X90" s="24"/>
      <c r="Y90" s="168">
        <f t="shared" si="36"/>
        <v>0</v>
      </c>
      <c r="Z90" s="24"/>
    </row>
    <row r="91" spans="1:30" s="12" customFormat="1" ht="12" x14ac:dyDescent="0.15">
      <c r="A91" s="180" t="s">
        <v>68</v>
      </c>
      <c r="B91" s="181"/>
      <c r="C91" s="181"/>
      <c r="D91" s="181"/>
      <c r="E91" s="181"/>
      <c r="F91" s="181"/>
      <c r="G91" s="170"/>
      <c r="H91" s="170"/>
      <c r="I91" s="170"/>
      <c r="J91" s="170"/>
      <c r="K91" s="24"/>
      <c r="L91" s="168">
        <f t="shared" si="37"/>
        <v>0</v>
      </c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168">
        <f t="shared" si="35"/>
        <v>0</v>
      </c>
      <c r="X91" s="24"/>
      <c r="Y91" s="168">
        <f t="shared" si="36"/>
        <v>0</v>
      </c>
      <c r="Z91" s="24"/>
    </row>
    <row r="92" spans="1:30" s="12" customFormat="1" ht="12" x14ac:dyDescent="0.15">
      <c r="A92" s="180" t="s">
        <v>69</v>
      </c>
      <c r="B92" s="181"/>
      <c r="C92" s="181"/>
      <c r="D92" s="181"/>
      <c r="E92" s="181"/>
      <c r="F92" s="181"/>
      <c r="G92" s="24">
        <v>3696676</v>
      </c>
      <c r="H92" s="24">
        <v>-37301</v>
      </c>
      <c r="I92" s="24"/>
      <c r="J92" s="24">
        <v>-830</v>
      </c>
      <c r="K92" s="24">
        <v>-1080</v>
      </c>
      <c r="L92" s="168">
        <f t="shared" si="37"/>
        <v>-39211</v>
      </c>
      <c r="M92" s="24">
        <v>-8014</v>
      </c>
      <c r="N92" s="24">
        <v>-986</v>
      </c>
      <c r="O92" s="24">
        <v>40388</v>
      </c>
      <c r="P92" s="24">
        <v>-1994</v>
      </c>
      <c r="Q92" s="24">
        <v>226</v>
      </c>
      <c r="R92" s="24">
        <v>7491</v>
      </c>
      <c r="S92" s="24">
        <v>7491</v>
      </c>
      <c r="T92" s="24">
        <v>-38967</v>
      </c>
      <c r="U92" s="24">
        <v>-38967</v>
      </c>
      <c r="V92" s="24">
        <v>-38967</v>
      </c>
      <c r="W92" s="168">
        <f t="shared" si="35"/>
        <v>-72299</v>
      </c>
      <c r="X92" s="24">
        <v>-4238152</v>
      </c>
      <c r="Y92" s="168">
        <f t="shared" si="36"/>
        <v>-652986</v>
      </c>
      <c r="Z92" s="25">
        <v>-582543</v>
      </c>
    </row>
    <row r="93" spans="1:30" s="12" customFormat="1" ht="12" x14ac:dyDescent="0.15">
      <c r="A93" s="180" t="s">
        <v>70</v>
      </c>
      <c r="B93" s="181"/>
      <c r="C93" s="181"/>
      <c r="D93" s="181"/>
      <c r="E93" s="181"/>
      <c r="F93" s="181"/>
      <c r="G93" s="24"/>
      <c r="H93" s="24"/>
      <c r="I93" s="24"/>
      <c r="J93" s="24"/>
      <c r="K93" s="24"/>
      <c r="L93" s="168">
        <f t="shared" si="37"/>
        <v>0</v>
      </c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168">
        <f t="shared" si="35"/>
        <v>0</v>
      </c>
      <c r="X93" s="24">
        <v>6300893</v>
      </c>
      <c r="Y93" s="168">
        <f t="shared" si="36"/>
        <v>6300893</v>
      </c>
      <c r="Z93" s="25">
        <v>6300893</v>
      </c>
    </row>
    <row r="94" spans="1:30" s="12" customFormat="1" ht="12" x14ac:dyDescent="0.15">
      <c r="A94" s="180" t="s">
        <v>71</v>
      </c>
      <c r="B94" s="181"/>
      <c r="C94" s="181"/>
      <c r="D94" s="181"/>
      <c r="E94" s="181"/>
      <c r="F94" s="181"/>
      <c r="G94" s="24">
        <v>3696676</v>
      </c>
      <c r="H94" s="24">
        <v>-37301</v>
      </c>
      <c r="I94" s="24"/>
      <c r="J94" s="24">
        <v>-830</v>
      </c>
      <c r="K94" s="24">
        <v>-1080</v>
      </c>
      <c r="L94" s="168">
        <f t="shared" si="37"/>
        <v>-39211</v>
      </c>
      <c r="M94" s="24">
        <v>-8014</v>
      </c>
      <c r="N94" s="24">
        <v>-986</v>
      </c>
      <c r="O94" s="24">
        <v>40388</v>
      </c>
      <c r="P94" s="24">
        <v>-1994</v>
      </c>
      <c r="Q94" s="24">
        <v>226</v>
      </c>
      <c r="R94" s="24">
        <v>7491</v>
      </c>
      <c r="S94" s="24">
        <v>7491</v>
      </c>
      <c r="T94" s="24">
        <v>-38967</v>
      </c>
      <c r="U94" s="24">
        <v>-38967</v>
      </c>
      <c r="V94" s="24">
        <v>-38967</v>
      </c>
      <c r="W94" s="168">
        <f t="shared" si="35"/>
        <v>-72299</v>
      </c>
      <c r="X94" s="24">
        <v>2062741</v>
      </c>
      <c r="Y94" s="168">
        <f t="shared" si="36"/>
        <v>5647907</v>
      </c>
      <c r="Z94" s="25">
        <v>5718350</v>
      </c>
    </row>
    <row r="95" spans="1:30" s="12" customFormat="1" ht="12" x14ac:dyDescent="0.15">
      <c r="A95" s="180" t="s">
        <v>72</v>
      </c>
      <c r="B95" s="181"/>
      <c r="C95" s="181"/>
      <c r="D95" s="181"/>
      <c r="E95" s="181"/>
      <c r="F95" s="181"/>
      <c r="G95" s="171"/>
      <c r="H95" s="171"/>
      <c r="I95" s="171"/>
      <c r="J95" s="171"/>
      <c r="K95" s="171"/>
      <c r="L95" s="168">
        <f t="shared" si="37"/>
        <v>0</v>
      </c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68">
        <f t="shared" si="35"/>
        <v>0</v>
      </c>
      <c r="X95" s="171"/>
      <c r="Y95" s="168">
        <f t="shared" si="36"/>
        <v>0</v>
      </c>
      <c r="Z95" s="28"/>
    </row>
    <row r="96" spans="1:30" s="12" customFormat="1" ht="12" x14ac:dyDescent="0.15">
      <c r="A96" s="180" t="s">
        <v>73</v>
      </c>
      <c r="B96" s="181"/>
      <c r="C96" s="181"/>
      <c r="D96" s="181"/>
      <c r="E96" s="181"/>
      <c r="F96" s="181"/>
      <c r="G96" s="24"/>
      <c r="H96" s="24"/>
      <c r="I96" s="24"/>
      <c r="J96" s="24"/>
      <c r="K96" s="24"/>
      <c r="L96" s="168">
        <f t="shared" si="37"/>
        <v>0</v>
      </c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168">
        <f t="shared" si="35"/>
        <v>0</v>
      </c>
      <c r="X96" s="24"/>
      <c r="Y96" s="168">
        <f t="shared" si="36"/>
        <v>0</v>
      </c>
      <c r="Z96" s="25"/>
    </row>
    <row r="97" spans="1:26" s="12" customFormat="1" ht="12" x14ac:dyDescent="0.15">
      <c r="A97" s="180" t="s">
        <v>74</v>
      </c>
      <c r="B97" s="181"/>
      <c r="C97" s="181"/>
      <c r="D97" s="181"/>
      <c r="E97" s="181"/>
      <c r="F97" s="181"/>
      <c r="G97" s="24"/>
      <c r="H97" s="24"/>
      <c r="I97" s="24"/>
      <c r="J97" s="24"/>
      <c r="K97" s="24"/>
      <c r="L97" s="168">
        <f t="shared" si="37"/>
        <v>0</v>
      </c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168">
        <f t="shared" si="35"/>
        <v>0</v>
      </c>
      <c r="X97" s="24"/>
      <c r="Y97" s="168">
        <f t="shared" si="36"/>
        <v>0</v>
      </c>
      <c r="Z97" s="25"/>
    </row>
    <row r="98" spans="1:26" s="12" customFormat="1" ht="12" x14ac:dyDescent="0.15">
      <c r="A98" s="180" t="s">
        <v>75</v>
      </c>
      <c r="B98" s="181"/>
      <c r="C98" s="181"/>
      <c r="D98" s="181"/>
      <c r="E98" s="181"/>
      <c r="F98" s="181"/>
      <c r="G98" s="24"/>
      <c r="H98" s="24"/>
      <c r="I98" s="24"/>
      <c r="J98" s="24"/>
      <c r="K98" s="24"/>
      <c r="L98" s="168">
        <f t="shared" si="37"/>
        <v>0</v>
      </c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168">
        <f t="shared" si="35"/>
        <v>0</v>
      </c>
      <c r="X98" s="24"/>
      <c r="Y98" s="168">
        <f t="shared" si="36"/>
        <v>0</v>
      </c>
      <c r="Z98" s="25"/>
    </row>
    <row r="99" spans="1:26" s="12" customFormat="1" ht="12" x14ac:dyDescent="0.15">
      <c r="A99" s="182" t="s">
        <v>76</v>
      </c>
      <c r="B99" s="183"/>
      <c r="C99" s="183"/>
      <c r="D99" s="183"/>
      <c r="E99" s="183"/>
      <c r="F99" s="183"/>
      <c r="G99" s="24">
        <v>3696676</v>
      </c>
      <c r="H99" s="24">
        <v>-37301</v>
      </c>
      <c r="I99" s="24"/>
      <c r="J99" s="24">
        <v>-830</v>
      </c>
      <c r="K99" s="24">
        <v>-1080</v>
      </c>
      <c r="L99" s="168">
        <f t="shared" si="37"/>
        <v>-39211</v>
      </c>
      <c r="M99" s="24">
        <v>-8014</v>
      </c>
      <c r="N99" s="24">
        <v>-986</v>
      </c>
      <c r="O99" s="24">
        <v>40388</v>
      </c>
      <c r="P99" s="24">
        <v>-1994</v>
      </c>
      <c r="Q99" s="24">
        <v>226</v>
      </c>
      <c r="R99" s="24">
        <v>7491</v>
      </c>
      <c r="S99" s="24">
        <v>7491</v>
      </c>
      <c r="T99" s="24">
        <v>-38967</v>
      </c>
      <c r="U99" s="24">
        <v>-38967</v>
      </c>
      <c r="V99" s="24">
        <v>-38967</v>
      </c>
      <c r="W99" s="168">
        <f t="shared" si="35"/>
        <v>-72299</v>
      </c>
      <c r="X99" s="24">
        <v>2062741</v>
      </c>
      <c r="Y99" s="168">
        <f t="shared" si="36"/>
        <v>5647907</v>
      </c>
      <c r="Z99" s="25">
        <v>5718350</v>
      </c>
    </row>
    <row r="100" spans="1:26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83">
    <mergeCell ref="A95:F95"/>
    <mergeCell ref="A96:F96"/>
    <mergeCell ref="A97:F97"/>
    <mergeCell ref="A98:F98"/>
    <mergeCell ref="A99:F99"/>
    <mergeCell ref="A94:F94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93:F93"/>
    <mergeCell ref="A82:F82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81:F81"/>
    <mergeCell ref="A70:F70"/>
    <mergeCell ref="A54:F54"/>
    <mergeCell ref="A55:F55"/>
    <mergeCell ref="A56:F56"/>
    <mergeCell ref="A57:F57"/>
    <mergeCell ref="A58:F58"/>
    <mergeCell ref="A59:F59"/>
    <mergeCell ref="A62:F62"/>
    <mergeCell ref="A63:F63"/>
    <mergeCell ref="A64:F64"/>
    <mergeCell ref="A65:F65"/>
    <mergeCell ref="A69:F69"/>
    <mergeCell ref="A53:F53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41:F41"/>
    <mergeCell ref="A20:F20"/>
    <mergeCell ref="A23:F23"/>
    <mergeCell ref="A24:F24"/>
    <mergeCell ref="A25:F25"/>
    <mergeCell ref="A26:F26"/>
    <mergeCell ref="A27:F27"/>
    <mergeCell ref="A34:F34"/>
    <mergeCell ref="A35:F35"/>
    <mergeCell ref="A36:F36"/>
    <mergeCell ref="A37:F37"/>
    <mergeCell ref="A40:F40"/>
    <mergeCell ref="A19:F19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7:F7"/>
    <mergeCell ref="A3:Z3"/>
    <mergeCell ref="A4:F4"/>
    <mergeCell ref="A5:F6"/>
    <mergeCell ref="G5:X5"/>
    <mergeCell ref="Z5:Z6"/>
  </mergeCells>
  <phoneticPr fontId="1"/>
  <pageMargins left="0.70866141732283472" right="0.70866141732283472" top="0.15748031496062992" bottom="0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topLeftCell="A57" workbookViewId="0">
      <selection activeCell="Y87" sqref="Y87"/>
    </sheetView>
  </sheetViews>
  <sheetFormatPr defaultRowHeight="13.5" x14ac:dyDescent="0.15"/>
  <cols>
    <col min="1" max="1" width="7.125" customWidth="1"/>
    <col min="6" max="6" width="4.125" customWidth="1"/>
    <col min="7" max="7" width="10.875" customWidth="1"/>
    <col min="8" max="8" width="7.875" customWidth="1"/>
    <col min="9" max="9" width="2.5" customWidth="1"/>
    <col min="10" max="10" width="5.75" customWidth="1"/>
    <col min="11" max="11" width="7.875" customWidth="1"/>
    <col min="12" max="17" width="5.875" customWidth="1"/>
    <col min="18" max="18" width="5.5" customWidth="1"/>
    <col min="19" max="19" width="7.125" customWidth="1"/>
    <col min="20" max="20" width="6.75" customWidth="1"/>
    <col min="21" max="21" width="7.125" customWidth="1"/>
    <col min="22" max="22" width="9.5" customWidth="1"/>
    <col min="23" max="23" width="10" customWidth="1"/>
    <col min="24" max="24" width="10.125" customWidth="1"/>
    <col min="25" max="25" width="10.875" customWidth="1"/>
  </cols>
  <sheetData>
    <row r="1" spans="1:25" s="3" customFormat="1" ht="18.75" customHeight="1" x14ac:dyDescent="0.15">
      <c r="A1" s="4" t="s">
        <v>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ht="13.5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1:25" x14ac:dyDescent="0.15">
      <c r="A3" s="204" t="s">
        <v>142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</row>
    <row r="4" spans="1:25" x14ac:dyDescent="0.15">
      <c r="A4" s="205" t="s">
        <v>0</v>
      </c>
      <c r="B4" s="205"/>
      <c r="C4" s="205"/>
      <c r="D4" s="205"/>
      <c r="E4" s="205"/>
      <c r="F4" s="20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5" hidden="1" x14ac:dyDescent="0.15">
      <c r="A5" s="206" t="s">
        <v>1</v>
      </c>
      <c r="B5" s="207"/>
      <c r="C5" s="207"/>
      <c r="D5" s="207"/>
      <c r="E5" s="207"/>
      <c r="F5" s="208"/>
      <c r="G5" s="212" t="s">
        <v>2</v>
      </c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4" t="s">
        <v>14</v>
      </c>
    </row>
    <row r="6" spans="1:25" ht="25.5" customHeight="1" x14ac:dyDescent="0.15">
      <c r="A6" s="209"/>
      <c r="B6" s="210"/>
      <c r="C6" s="210"/>
      <c r="D6" s="210"/>
      <c r="E6" s="210"/>
      <c r="F6" s="211"/>
      <c r="G6" s="6" t="s">
        <v>3</v>
      </c>
      <c r="H6" s="6" t="s">
        <v>4</v>
      </c>
      <c r="I6" s="6" t="s">
        <v>5</v>
      </c>
      <c r="J6" s="81" t="s">
        <v>6</v>
      </c>
      <c r="K6" s="81" t="s">
        <v>7</v>
      </c>
      <c r="L6" s="81" t="s">
        <v>86</v>
      </c>
      <c r="M6" s="81" t="s">
        <v>87</v>
      </c>
      <c r="N6" s="81" t="s">
        <v>8</v>
      </c>
      <c r="O6" s="81" t="s">
        <v>9</v>
      </c>
      <c r="P6" s="81" t="s">
        <v>10</v>
      </c>
      <c r="Q6" s="81" t="s">
        <v>11</v>
      </c>
      <c r="R6" s="81" t="s">
        <v>98</v>
      </c>
      <c r="S6" s="6" t="s">
        <v>97</v>
      </c>
      <c r="T6" s="6" t="s">
        <v>12</v>
      </c>
      <c r="U6" s="6" t="s">
        <v>96</v>
      </c>
      <c r="V6" s="6" t="s">
        <v>13</v>
      </c>
      <c r="W6" s="215"/>
      <c r="X6" s="7" t="s">
        <v>109</v>
      </c>
      <c r="Y6" s="8" t="s">
        <v>81</v>
      </c>
    </row>
    <row r="7" spans="1:25" s="12" customFormat="1" ht="5.25" customHeight="1" x14ac:dyDescent="0.15">
      <c r="A7" s="202" t="s">
        <v>15</v>
      </c>
      <c r="B7" s="203"/>
      <c r="C7" s="203"/>
      <c r="D7" s="203"/>
      <c r="E7" s="203"/>
      <c r="F7" s="20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Y7" s="9"/>
    </row>
    <row r="8" spans="1:25" s="12" customFormat="1" ht="5.25" customHeight="1" x14ac:dyDescent="0.15">
      <c r="A8" s="186" t="s">
        <v>16</v>
      </c>
      <c r="B8" s="187"/>
      <c r="C8" s="187"/>
      <c r="D8" s="187"/>
      <c r="E8" s="187"/>
      <c r="F8" s="187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Y8" s="9"/>
    </row>
    <row r="9" spans="1:25" s="12" customFormat="1" ht="5.25" customHeight="1" x14ac:dyDescent="0.15">
      <c r="A9" s="186" t="s">
        <v>17</v>
      </c>
      <c r="B9" s="187"/>
      <c r="C9" s="187"/>
      <c r="D9" s="187"/>
      <c r="E9" s="187"/>
      <c r="F9" s="187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/>
      <c r="Y9" s="9"/>
    </row>
    <row r="10" spans="1:25" s="15" customFormat="1" ht="12" x14ac:dyDescent="0.15">
      <c r="A10" s="188" t="s">
        <v>18</v>
      </c>
      <c r="B10" s="189"/>
      <c r="C10" s="189"/>
      <c r="D10" s="189"/>
      <c r="E10" s="189"/>
      <c r="F10" s="189"/>
      <c r="G10" s="83">
        <f t="shared" ref="G10:X10" si="0">SUM(G11)</f>
        <v>0</v>
      </c>
      <c r="H10" s="83">
        <f t="shared" si="0"/>
        <v>0</v>
      </c>
      <c r="I10" s="83">
        <f t="shared" si="0"/>
        <v>0</v>
      </c>
      <c r="J10" s="83">
        <f t="shared" si="0"/>
        <v>0</v>
      </c>
      <c r="K10" s="83">
        <f t="shared" si="0"/>
        <v>0</v>
      </c>
      <c r="L10" s="83">
        <f t="shared" si="0"/>
        <v>0</v>
      </c>
      <c r="M10" s="83">
        <f t="shared" si="0"/>
        <v>0</v>
      </c>
      <c r="N10" s="83">
        <f t="shared" si="0"/>
        <v>0</v>
      </c>
      <c r="O10" s="83">
        <f t="shared" si="0"/>
        <v>0</v>
      </c>
      <c r="P10" s="83">
        <f t="shared" si="0"/>
        <v>0</v>
      </c>
      <c r="Q10" s="83">
        <f t="shared" si="0"/>
        <v>0</v>
      </c>
      <c r="R10" s="83">
        <f t="shared" si="0"/>
        <v>0</v>
      </c>
      <c r="S10" s="83">
        <f t="shared" si="0"/>
        <v>0</v>
      </c>
      <c r="T10" s="83">
        <f t="shared" si="0"/>
        <v>0</v>
      </c>
      <c r="U10" s="83">
        <f t="shared" si="0"/>
        <v>0</v>
      </c>
      <c r="V10" s="83">
        <f t="shared" si="0"/>
        <v>0</v>
      </c>
      <c r="W10" s="84">
        <f>SUM(G10:V10)</f>
        <v>0</v>
      </c>
      <c r="X10" s="85">
        <f t="shared" si="0"/>
        <v>0</v>
      </c>
      <c r="Y10" s="86">
        <f>SUM(W10:X10)</f>
        <v>0</v>
      </c>
    </row>
    <row r="11" spans="1:25" s="12" customFormat="1" ht="12" x14ac:dyDescent="0.15">
      <c r="A11" s="186" t="s">
        <v>19</v>
      </c>
      <c r="B11" s="187"/>
      <c r="C11" s="187"/>
      <c r="D11" s="187"/>
      <c r="E11" s="187"/>
      <c r="F11" s="187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87">
        <f t="shared" ref="W11:W17" si="1">SUM(G11:V11)</f>
        <v>0</v>
      </c>
      <c r="X11" s="88"/>
      <c r="Y11" s="89">
        <f t="shared" ref="Y11:Y81" si="2">SUM(W11:X11)</f>
        <v>0</v>
      </c>
    </row>
    <row r="12" spans="1:25" s="15" customFormat="1" ht="12" x14ac:dyDescent="0.15">
      <c r="A12" s="188" t="s">
        <v>20</v>
      </c>
      <c r="B12" s="189"/>
      <c r="C12" s="189"/>
      <c r="D12" s="189"/>
      <c r="E12" s="189"/>
      <c r="F12" s="189"/>
      <c r="G12" s="83">
        <f>SUM(G13)</f>
        <v>0</v>
      </c>
      <c r="H12" s="83">
        <f t="shared" ref="H12:X12" si="3">SUM(H13)</f>
        <v>0</v>
      </c>
      <c r="I12" s="83">
        <f t="shared" si="3"/>
        <v>0</v>
      </c>
      <c r="J12" s="83">
        <f t="shared" si="3"/>
        <v>0</v>
      </c>
      <c r="K12" s="83">
        <f t="shared" si="3"/>
        <v>0</v>
      </c>
      <c r="L12" s="83">
        <f t="shared" si="3"/>
        <v>0</v>
      </c>
      <c r="M12" s="83">
        <f t="shared" si="3"/>
        <v>0</v>
      </c>
      <c r="N12" s="83">
        <f t="shared" si="3"/>
        <v>0</v>
      </c>
      <c r="O12" s="83">
        <f t="shared" si="3"/>
        <v>0</v>
      </c>
      <c r="P12" s="83">
        <f t="shared" si="3"/>
        <v>0</v>
      </c>
      <c r="Q12" s="83">
        <f t="shared" si="3"/>
        <v>0</v>
      </c>
      <c r="R12" s="83">
        <f t="shared" si="3"/>
        <v>0</v>
      </c>
      <c r="S12" s="83">
        <f t="shared" si="3"/>
        <v>0</v>
      </c>
      <c r="T12" s="83">
        <f t="shared" si="3"/>
        <v>0</v>
      </c>
      <c r="U12" s="83">
        <f t="shared" si="3"/>
        <v>0</v>
      </c>
      <c r="V12" s="83">
        <f t="shared" si="3"/>
        <v>3031140</v>
      </c>
      <c r="W12" s="84">
        <f t="shared" si="1"/>
        <v>3031140</v>
      </c>
      <c r="X12" s="85">
        <f t="shared" si="3"/>
        <v>0</v>
      </c>
      <c r="Y12" s="86">
        <f>SUM(W12:X12)</f>
        <v>3031140</v>
      </c>
    </row>
    <row r="13" spans="1:25" s="12" customFormat="1" ht="12" x14ac:dyDescent="0.15">
      <c r="A13" s="186" t="s">
        <v>21</v>
      </c>
      <c r="B13" s="187"/>
      <c r="C13" s="187"/>
      <c r="D13" s="187"/>
      <c r="E13" s="187"/>
      <c r="F13" s="187"/>
      <c r="G13" s="90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>
        <v>3031140</v>
      </c>
      <c r="W13" s="87">
        <f t="shared" si="1"/>
        <v>3031140</v>
      </c>
      <c r="X13" s="88"/>
      <c r="Y13" s="89">
        <f t="shared" si="2"/>
        <v>3031140</v>
      </c>
    </row>
    <row r="14" spans="1:25" s="15" customFormat="1" ht="12" x14ac:dyDescent="0.15">
      <c r="A14" s="188" t="s">
        <v>22</v>
      </c>
      <c r="B14" s="189"/>
      <c r="C14" s="189"/>
      <c r="D14" s="189"/>
      <c r="E14" s="189"/>
      <c r="F14" s="189"/>
      <c r="G14" s="83">
        <f>SUM(G15:G17)</f>
        <v>4980000</v>
      </c>
      <c r="H14" s="83">
        <f t="shared" ref="H14:X14" si="4">SUM(H15:H17)</f>
        <v>0</v>
      </c>
      <c r="I14" s="83">
        <f t="shared" si="4"/>
        <v>0</v>
      </c>
      <c r="J14" s="83">
        <f t="shared" si="4"/>
        <v>0</v>
      </c>
      <c r="K14" s="91">
        <f t="shared" si="4"/>
        <v>9080000</v>
      </c>
      <c r="L14" s="83">
        <f t="shared" si="4"/>
        <v>0</v>
      </c>
      <c r="M14" s="83">
        <f t="shared" si="4"/>
        <v>0</v>
      </c>
      <c r="N14" s="83">
        <f t="shared" si="4"/>
        <v>0</v>
      </c>
      <c r="O14" s="83">
        <f t="shared" si="4"/>
        <v>0</v>
      </c>
      <c r="P14" s="83">
        <f t="shared" si="4"/>
        <v>0</v>
      </c>
      <c r="Q14" s="83">
        <f t="shared" si="4"/>
        <v>0</v>
      </c>
      <c r="R14" s="83">
        <f t="shared" si="4"/>
        <v>0</v>
      </c>
      <c r="S14" s="83">
        <f t="shared" si="4"/>
        <v>0</v>
      </c>
      <c r="T14" s="83">
        <f t="shared" si="4"/>
        <v>0</v>
      </c>
      <c r="U14" s="83">
        <f t="shared" si="4"/>
        <v>0</v>
      </c>
      <c r="V14" s="83">
        <f t="shared" si="4"/>
        <v>869000</v>
      </c>
      <c r="W14" s="84">
        <f t="shared" si="1"/>
        <v>14929000</v>
      </c>
      <c r="X14" s="85">
        <f t="shared" si="4"/>
        <v>0</v>
      </c>
      <c r="Y14" s="86">
        <f t="shared" si="2"/>
        <v>14929000</v>
      </c>
    </row>
    <row r="15" spans="1:25" s="12" customFormat="1" ht="12" x14ac:dyDescent="0.15">
      <c r="A15" s="186" t="s">
        <v>23</v>
      </c>
      <c r="B15" s="187"/>
      <c r="C15" s="187"/>
      <c r="D15" s="187"/>
      <c r="E15" s="187"/>
      <c r="F15" s="187"/>
      <c r="G15" s="39">
        <v>4980000</v>
      </c>
      <c r="H15" s="39"/>
      <c r="I15" s="39"/>
      <c r="J15" s="39"/>
      <c r="K15" s="92">
        <v>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>
        <v>0</v>
      </c>
      <c r="W15" s="87">
        <f t="shared" si="1"/>
        <v>4980000</v>
      </c>
      <c r="X15" s="88"/>
      <c r="Y15" s="89">
        <f t="shared" si="2"/>
        <v>4980000</v>
      </c>
    </row>
    <row r="16" spans="1:25" s="32" customFormat="1" ht="12" x14ac:dyDescent="0.15">
      <c r="A16" s="200" t="s">
        <v>24</v>
      </c>
      <c r="B16" s="201"/>
      <c r="C16" s="201"/>
      <c r="D16" s="201"/>
      <c r="E16" s="201"/>
      <c r="F16" s="201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>
        <v>869000</v>
      </c>
      <c r="W16" s="93">
        <f t="shared" si="1"/>
        <v>869000</v>
      </c>
      <c r="X16" s="94">
        <v>0</v>
      </c>
      <c r="Y16" s="95">
        <f t="shared" si="2"/>
        <v>869000</v>
      </c>
    </row>
    <row r="17" spans="1:25" s="32" customFormat="1" ht="12" x14ac:dyDescent="0.15">
      <c r="A17" s="200" t="s">
        <v>144</v>
      </c>
      <c r="B17" s="201"/>
      <c r="C17" s="201"/>
      <c r="D17" s="201"/>
      <c r="E17" s="201"/>
      <c r="F17" s="201"/>
      <c r="G17" s="70"/>
      <c r="H17" s="70"/>
      <c r="I17" s="70"/>
      <c r="J17" s="70"/>
      <c r="K17" s="70">
        <v>9080000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93">
        <f t="shared" si="1"/>
        <v>9080000</v>
      </c>
      <c r="X17" s="94">
        <v>0</v>
      </c>
      <c r="Y17" s="95">
        <f t="shared" si="2"/>
        <v>9080000</v>
      </c>
    </row>
    <row r="18" spans="1:25" s="15" customFormat="1" ht="12" x14ac:dyDescent="0.15">
      <c r="A18" s="188" t="s">
        <v>25</v>
      </c>
      <c r="B18" s="189"/>
      <c r="C18" s="189"/>
      <c r="D18" s="189"/>
      <c r="E18" s="189"/>
      <c r="F18" s="189"/>
      <c r="G18" s="83">
        <f t="shared" ref="G18:Y18" si="5">SUM(G19:G20)</f>
        <v>0</v>
      </c>
      <c r="H18" s="83">
        <f t="shared" si="5"/>
        <v>252500</v>
      </c>
      <c r="I18" s="83">
        <f t="shared" si="5"/>
        <v>0</v>
      </c>
      <c r="J18" s="83">
        <f t="shared" si="5"/>
        <v>2640</v>
      </c>
      <c r="K18" s="83">
        <f t="shared" si="5"/>
        <v>0</v>
      </c>
      <c r="L18" s="83">
        <f t="shared" si="5"/>
        <v>3759</v>
      </c>
      <c r="M18" s="83">
        <f t="shared" si="5"/>
        <v>0</v>
      </c>
      <c r="N18" s="83">
        <f t="shared" si="5"/>
        <v>64498</v>
      </c>
      <c r="O18" s="83">
        <f t="shared" si="5"/>
        <v>0</v>
      </c>
      <c r="P18" s="83">
        <f t="shared" si="5"/>
        <v>19910</v>
      </c>
      <c r="Q18" s="83">
        <f t="shared" si="5"/>
        <v>2530</v>
      </c>
      <c r="R18" s="83">
        <f t="shared" si="5"/>
        <v>0</v>
      </c>
      <c r="S18" s="83">
        <f t="shared" si="5"/>
        <v>0</v>
      </c>
      <c r="T18" s="83">
        <f t="shared" si="5"/>
        <v>0</v>
      </c>
      <c r="U18" s="83">
        <f t="shared" si="5"/>
        <v>0</v>
      </c>
      <c r="V18" s="83">
        <f t="shared" si="5"/>
        <v>0</v>
      </c>
      <c r="W18" s="83">
        <f t="shared" si="5"/>
        <v>345837</v>
      </c>
      <c r="X18" s="83">
        <f t="shared" si="5"/>
        <v>0</v>
      </c>
      <c r="Y18" s="83">
        <f t="shared" si="5"/>
        <v>345837</v>
      </c>
    </row>
    <row r="19" spans="1:25" s="12" customFormat="1" ht="12" x14ac:dyDescent="0.15">
      <c r="A19" s="186" t="s">
        <v>83</v>
      </c>
      <c r="B19" s="187"/>
      <c r="C19" s="187"/>
      <c r="D19" s="187"/>
      <c r="E19" s="187"/>
      <c r="F19" s="187"/>
      <c r="G19" s="39"/>
      <c r="H19" s="96">
        <v>252500</v>
      </c>
      <c r="I19" s="39">
        <v>0</v>
      </c>
      <c r="J19" s="39">
        <v>2640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87">
        <f>SUM(G19:V19)</f>
        <v>255140</v>
      </c>
      <c r="X19" s="88"/>
      <c r="Y19" s="89">
        <f>SUM(W19:X19)</f>
        <v>255140</v>
      </c>
    </row>
    <row r="20" spans="1:25" s="12" customFormat="1" ht="12" x14ac:dyDescent="0.15">
      <c r="A20" s="186" t="s">
        <v>26</v>
      </c>
      <c r="B20" s="187"/>
      <c r="C20" s="187"/>
      <c r="D20" s="187"/>
      <c r="E20" s="187"/>
      <c r="F20" s="187"/>
      <c r="G20" s="39">
        <f>SUM(G21:G22)</f>
        <v>0</v>
      </c>
      <c r="H20" s="39">
        <f t="shared" ref="H20:V20" si="6">SUM(H21:H22)</f>
        <v>0</v>
      </c>
      <c r="I20" s="39">
        <f t="shared" si="6"/>
        <v>0</v>
      </c>
      <c r="J20" s="39">
        <f t="shared" si="6"/>
        <v>0</v>
      </c>
      <c r="K20" s="39">
        <f t="shared" si="6"/>
        <v>0</v>
      </c>
      <c r="L20" s="39">
        <v>3759</v>
      </c>
      <c r="M20" s="39"/>
      <c r="N20" s="96">
        <v>64498</v>
      </c>
      <c r="O20" s="96">
        <f t="shared" si="6"/>
        <v>0</v>
      </c>
      <c r="P20" s="96">
        <v>19910</v>
      </c>
      <c r="Q20" s="96">
        <v>2530</v>
      </c>
      <c r="R20" s="39">
        <f t="shared" si="6"/>
        <v>0</v>
      </c>
      <c r="S20" s="39">
        <f t="shared" si="6"/>
        <v>0</v>
      </c>
      <c r="T20" s="39">
        <f t="shared" si="6"/>
        <v>0</v>
      </c>
      <c r="U20" s="39">
        <f t="shared" si="6"/>
        <v>0</v>
      </c>
      <c r="V20" s="39">
        <f t="shared" si="6"/>
        <v>0</v>
      </c>
      <c r="W20" s="87">
        <f>SUM(G20:V20)</f>
        <v>90697</v>
      </c>
      <c r="X20" s="39"/>
      <c r="Y20" s="89">
        <f>SUM(W20:X20)</f>
        <v>90697</v>
      </c>
    </row>
    <row r="21" spans="1:25" s="12" customFormat="1" ht="2.25" customHeight="1" x14ac:dyDescent="0.15">
      <c r="A21" s="132"/>
      <c r="B21" s="133"/>
      <c r="C21" s="133" t="s">
        <v>84</v>
      </c>
      <c r="D21" s="133"/>
      <c r="E21" s="133"/>
      <c r="F21" s="133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97"/>
      <c r="T21" s="97"/>
      <c r="U21" s="97"/>
      <c r="V21" s="39"/>
      <c r="W21" s="87">
        <f>SUM(G21:V21)</f>
        <v>0</v>
      </c>
      <c r="X21" s="88"/>
      <c r="Y21" s="89">
        <f t="shared" ref="Y21" si="7">SUM(W21:X21)</f>
        <v>0</v>
      </c>
    </row>
    <row r="22" spans="1:25" s="18" customFormat="1" ht="2.25" customHeight="1" x14ac:dyDescent="0.15">
      <c r="A22" s="16"/>
      <c r="B22" s="17"/>
      <c r="C22" s="17" t="s">
        <v>85</v>
      </c>
      <c r="D22" s="17"/>
      <c r="E22" s="17"/>
      <c r="F22" s="17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9">
        <f>SUM(G22:V22)</f>
        <v>0</v>
      </c>
      <c r="X22" s="100"/>
      <c r="Y22" s="101">
        <f t="shared" si="2"/>
        <v>0</v>
      </c>
    </row>
    <row r="23" spans="1:25" s="15" customFormat="1" ht="12" x14ac:dyDescent="0.15">
      <c r="A23" s="188" t="s">
        <v>27</v>
      </c>
      <c r="B23" s="189"/>
      <c r="C23" s="189"/>
      <c r="D23" s="189"/>
      <c r="E23" s="189"/>
      <c r="F23" s="189"/>
      <c r="G23" s="83">
        <f>SUM(G24:G25)</f>
        <v>30000</v>
      </c>
      <c r="H23" s="83">
        <f t="shared" ref="H23:X23" si="8">SUM(H24:H25)</f>
        <v>0</v>
      </c>
      <c r="I23" s="83">
        <f t="shared" si="8"/>
        <v>0</v>
      </c>
      <c r="J23" s="83">
        <f t="shared" si="8"/>
        <v>0</v>
      </c>
      <c r="K23" s="83">
        <f t="shared" si="8"/>
        <v>0</v>
      </c>
      <c r="L23" s="83">
        <f t="shared" si="8"/>
        <v>0</v>
      </c>
      <c r="M23" s="83">
        <f t="shared" si="8"/>
        <v>0</v>
      </c>
      <c r="N23" s="83">
        <f t="shared" si="8"/>
        <v>0</v>
      </c>
      <c r="O23" s="83">
        <f t="shared" si="8"/>
        <v>0</v>
      </c>
      <c r="P23" s="83">
        <f t="shared" si="8"/>
        <v>0</v>
      </c>
      <c r="Q23" s="83">
        <f t="shared" si="8"/>
        <v>0</v>
      </c>
      <c r="R23" s="83">
        <f t="shared" si="8"/>
        <v>0</v>
      </c>
      <c r="S23" s="83">
        <f t="shared" si="8"/>
        <v>0</v>
      </c>
      <c r="T23" s="83">
        <f t="shared" si="8"/>
        <v>0</v>
      </c>
      <c r="U23" s="83">
        <f t="shared" si="8"/>
        <v>0</v>
      </c>
      <c r="V23" s="83">
        <f>SUM(V24:V25)</f>
        <v>297</v>
      </c>
      <c r="W23" s="84">
        <f t="shared" ref="W23:W25" si="9">SUM(G23:V23)</f>
        <v>30297</v>
      </c>
      <c r="X23" s="83">
        <f t="shared" si="8"/>
        <v>0</v>
      </c>
      <c r="Y23" s="86">
        <f t="shared" si="2"/>
        <v>30297</v>
      </c>
    </row>
    <row r="24" spans="1:25" s="12" customFormat="1" ht="12" x14ac:dyDescent="0.15">
      <c r="A24" s="186" t="s">
        <v>88</v>
      </c>
      <c r="B24" s="187"/>
      <c r="C24" s="187"/>
      <c r="D24" s="187"/>
      <c r="E24" s="187"/>
      <c r="F24" s="187"/>
      <c r="G24" s="39">
        <v>30000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87">
        <f t="shared" si="9"/>
        <v>30000</v>
      </c>
      <c r="X24" s="88"/>
      <c r="Y24" s="89">
        <f t="shared" si="2"/>
        <v>30000</v>
      </c>
    </row>
    <row r="25" spans="1:25" s="12" customFormat="1" ht="12" x14ac:dyDescent="0.15">
      <c r="A25" s="186" t="s">
        <v>28</v>
      </c>
      <c r="B25" s="187"/>
      <c r="C25" s="187"/>
      <c r="D25" s="187"/>
      <c r="E25" s="187"/>
      <c r="F25" s="187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>
        <v>297</v>
      </c>
      <c r="W25" s="87">
        <f t="shared" si="9"/>
        <v>297</v>
      </c>
      <c r="X25" s="88"/>
      <c r="Y25" s="102">
        <f t="shared" si="2"/>
        <v>297</v>
      </c>
    </row>
    <row r="26" spans="1:25" s="12" customFormat="1" ht="12" x14ac:dyDescent="0.15">
      <c r="A26" s="186" t="s">
        <v>29</v>
      </c>
      <c r="B26" s="187"/>
      <c r="C26" s="187"/>
      <c r="D26" s="187"/>
      <c r="E26" s="187"/>
      <c r="F26" s="187"/>
      <c r="G26" s="72">
        <f t="shared" ref="G26:Y26" si="10">SUM(G10+G12+G14+G18+G23)</f>
        <v>5010000</v>
      </c>
      <c r="H26" s="72">
        <f t="shared" si="10"/>
        <v>252500</v>
      </c>
      <c r="I26" s="72">
        <f t="shared" si="10"/>
        <v>0</v>
      </c>
      <c r="J26" s="72">
        <f t="shared" si="10"/>
        <v>2640</v>
      </c>
      <c r="K26" s="103">
        <f t="shared" si="10"/>
        <v>9080000</v>
      </c>
      <c r="L26" s="72">
        <f t="shared" si="10"/>
        <v>3759</v>
      </c>
      <c r="M26" s="72">
        <f t="shared" si="10"/>
        <v>0</v>
      </c>
      <c r="N26" s="72">
        <f t="shared" si="10"/>
        <v>64498</v>
      </c>
      <c r="O26" s="72">
        <f t="shared" si="10"/>
        <v>0</v>
      </c>
      <c r="P26" s="72">
        <f t="shared" si="10"/>
        <v>19910</v>
      </c>
      <c r="Q26" s="72">
        <f t="shared" si="10"/>
        <v>2530</v>
      </c>
      <c r="R26" s="72">
        <f t="shared" si="10"/>
        <v>0</v>
      </c>
      <c r="S26" s="72">
        <f t="shared" si="10"/>
        <v>0</v>
      </c>
      <c r="T26" s="72">
        <f t="shared" si="10"/>
        <v>0</v>
      </c>
      <c r="U26" s="72">
        <f t="shared" si="10"/>
        <v>0</v>
      </c>
      <c r="V26" s="72">
        <f t="shared" si="10"/>
        <v>3900437</v>
      </c>
      <c r="W26" s="72">
        <f t="shared" si="10"/>
        <v>18336274</v>
      </c>
      <c r="X26" s="72">
        <f t="shared" si="10"/>
        <v>0</v>
      </c>
      <c r="Y26" s="72">
        <f t="shared" si="10"/>
        <v>18336274</v>
      </c>
    </row>
    <row r="27" spans="1:25" s="12" customFormat="1" ht="6" customHeight="1" x14ac:dyDescent="0.15">
      <c r="A27" s="186" t="s">
        <v>30</v>
      </c>
      <c r="B27" s="187"/>
      <c r="C27" s="187"/>
      <c r="D27" s="187"/>
      <c r="E27" s="187"/>
      <c r="F27" s="187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5"/>
      <c r="X27" s="104"/>
      <c r="Y27" s="106">
        <f t="shared" si="2"/>
        <v>0</v>
      </c>
    </row>
    <row r="28" spans="1:25" s="33" customFormat="1" ht="12" x14ac:dyDescent="0.15">
      <c r="A28" s="137"/>
      <c r="B28" s="138"/>
      <c r="C28" s="138" t="s">
        <v>103</v>
      </c>
      <c r="D28" s="138"/>
      <c r="E28" s="138"/>
      <c r="F28" s="138"/>
      <c r="G28" s="107">
        <v>77.400000000000006</v>
      </c>
      <c r="H28" s="107">
        <v>3.45</v>
      </c>
      <c r="I28" s="107">
        <v>0</v>
      </c>
      <c r="J28" s="107">
        <v>0.05</v>
      </c>
      <c r="K28" s="107">
        <v>0.5</v>
      </c>
      <c r="L28" s="107">
        <v>1</v>
      </c>
      <c r="M28" s="107">
        <v>0.7</v>
      </c>
      <c r="N28" s="107"/>
      <c r="O28" s="107"/>
      <c r="P28" s="107">
        <v>0.9</v>
      </c>
      <c r="Q28" s="107">
        <v>1</v>
      </c>
      <c r="R28" s="107"/>
      <c r="S28" s="107"/>
      <c r="T28" s="107"/>
      <c r="U28" s="107"/>
      <c r="V28" s="107">
        <v>15</v>
      </c>
      <c r="W28" s="108"/>
      <c r="X28" s="107"/>
      <c r="Y28" s="109"/>
    </row>
    <row r="29" spans="1:25" s="22" customFormat="1" ht="12" x14ac:dyDescent="0.15">
      <c r="A29" s="139"/>
      <c r="B29" s="140"/>
      <c r="C29" s="140" t="s">
        <v>104</v>
      </c>
      <c r="D29" s="140"/>
      <c r="E29" s="140"/>
      <c r="F29" s="140"/>
      <c r="G29" s="110">
        <v>95.1</v>
      </c>
      <c r="H29" s="110">
        <v>0.79</v>
      </c>
      <c r="I29" s="110"/>
      <c r="J29" s="110">
        <v>0.01</v>
      </c>
      <c r="K29" s="110"/>
      <c r="L29" s="110">
        <v>0.35</v>
      </c>
      <c r="M29" s="110">
        <v>0.15</v>
      </c>
      <c r="N29" s="110"/>
      <c r="O29" s="110"/>
      <c r="P29" s="110">
        <v>0.2</v>
      </c>
      <c r="Q29" s="110">
        <v>0.4</v>
      </c>
      <c r="R29" s="110"/>
      <c r="S29" s="110"/>
      <c r="T29" s="110"/>
      <c r="U29" s="110"/>
      <c r="V29" s="110">
        <v>3</v>
      </c>
      <c r="W29" s="111"/>
      <c r="X29" s="110"/>
      <c r="Y29" s="112"/>
    </row>
    <row r="30" spans="1:25" s="15" customFormat="1" ht="12" x14ac:dyDescent="0.15">
      <c r="A30" s="134"/>
      <c r="B30" s="135"/>
      <c r="C30" s="135" t="s">
        <v>94</v>
      </c>
      <c r="D30" s="135" t="s">
        <v>146</v>
      </c>
      <c r="E30" s="135"/>
      <c r="F30" s="135"/>
      <c r="G30" s="113">
        <f>G33/5489414*100</f>
        <v>84.388479353169572</v>
      </c>
      <c r="H30" s="113">
        <f t="shared" ref="H30:W30" si="11">H33/5489414*100</f>
        <v>2.3997643464311489</v>
      </c>
      <c r="I30" s="113">
        <f t="shared" si="11"/>
        <v>0</v>
      </c>
      <c r="J30" s="113">
        <f t="shared" si="11"/>
        <v>3.4211301971394395E-2</v>
      </c>
      <c r="K30" s="113">
        <f t="shared" si="11"/>
        <v>0.30258238857553832</v>
      </c>
      <c r="L30" s="113">
        <f t="shared" si="11"/>
        <v>0.74335803420911595</v>
      </c>
      <c r="M30" s="113">
        <f t="shared" si="11"/>
        <v>0.48283842319052639</v>
      </c>
      <c r="N30" s="113">
        <f t="shared" si="11"/>
        <v>0</v>
      </c>
      <c r="O30" s="113">
        <f t="shared" si="11"/>
        <v>0</v>
      </c>
      <c r="P30" s="113">
        <f t="shared" si="11"/>
        <v>0.62360026042852656</v>
      </c>
      <c r="Q30" s="113">
        <f t="shared" si="11"/>
        <v>0.76310513289760984</v>
      </c>
      <c r="R30" s="113">
        <f t="shared" si="11"/>
        <v>0</v>
      </c>
      <c r="S30" s="113">
        <f t="shared" si="11"/>
        <v>0</v>
      </c>
      <c r="T30" s="113">
        <f t="shared" si="11"/>
        <v>0</v>
      </c>
      <c r="U30" s="113">
        <f t="shared" si="11"/>
        <v>0</v>
      </c>
      <c r="V30" s="113">
        <f t="shared" si="11"/>
        <v>10.262060759126566</v>
      </c>
      <c r="W30" s="113">
        <f t="shared" si="11"/>
        <v>100</v>
      </c>
      <c r="X30" s="114" t="s">
        <v>108</v>
      </c>
      <c r="Y30" s="115"/>
    </row>
    <row r="31" spans="1:25" s="37" customFormat="1" ht="12" x14ac:dyDescent="0.15">
      <c r="A31" s="73"/>
      <c r="B31" s="74"/>
      <c r="C31" s="74"/>
      <c r="D31" s="74"/>
      <c r="E31" s="74"/>
      <c r="F31" s="74"/>
      <c r="G31" s="116">
        <f>G26/9191776*100</f>
        <v>54.505244688295271</v>
      </c>
      <c r="H31" s="116">
        <f t="shared" ref="H31:V31" si="12">H26/9191776*100</f>
        <v>2.7470208151286544</v>
      </c>
      <c r="I31" s="116">
        <f t="shared" si="12"/>
        <v>0</v>
      </c>
      <c r="J31" s="116">
        <f t="shared" si="12"/>
        <v>2.8721326542335234E-2</v>
      </c>
      <c r="K31" s="116">
        <f t="shared" si="12"/>
        <v>98.783956441062088</v>
      </c>
      <c r="L31" s="116">
        <f t="shared" si="12"/>
        <v>4.0895252451756875E-2</v>
      </c>
      <c r="M31" s="116">
        <f t="shared" si="12"/>
        <v>0</v>
      </c>
      <c r="N31" s="116">
        <f t="shared" si="12"/>
        <v>0.70169246944224928</v>
      </c>
      <c r="O31" s="116">
        <f t="shared" si="12"/>
        <v>0</v>
      </c>
      <c r="P31" s="116">
        <f t="shared" si="12"/>
        <v>0.21660667100677822</v>
      </c>
      <c r="Q31" s="116">
        <f t="shared" si="12"/>
        <v>2.7524604603071264E-2</v>
      </c>
      <c r="R31" s="116">
        <f t="shared" si="12"/>
        <v>0</v>
      </c>
      <c r="S31" s="116">
        <f t="shared" si="12"/>
        <v>0</v>
      </c>
      <c r="T31" s="116">
        <f t="shared" si="12"/>
        <v>0</v>
      </c>
      <c r="U31" s="116">
        <f t="shared" si="12"/>
        <v>0</v>
      </c>
      <c r="V31" s="116">
        <f t="shared" si="12"/>
        <v>42.433986641972126</v>
      </c>
      <c r="W31" s="116">
        <f>SUM(G31:V31)</f>
        <v>199.4856489105043</v>
      </c>
      <c r="X31" s="117">
        <v>8118200</v>
      </c>
      <c r="Y31" s="118"/>
    </row>
    <row r="32" spans="1:25" s="75" customFormat="1" ht="12" x14ac:dyDescent="0.15">
      <c r="A32" s="141"/>
      <c r="B32" s="142"/>
      <c r="C32" s="142" t="s">
        <v>95</v>
      </c>
      <c r="D32" s="142"/>
      <c r="E32" s="142"/>
      <c r="F32" s="142"/>
      <c r="G32" s="119">
        <v>54.505244688295271</v>
      </c>
      <c r="H32" s="119">
        <v>2.7470208151286544</v>
      </c>
      <c r="I32" s="119">
        <v>0</v>
      </c>
      <c r="J32" s="119">
        <v>2.8721326542335234E-2</v>
      </c>
      <c r="K32" s="119">
        <v>0</v>
      </c>
      <c r="L32" s="119">
        <v>4.0895252451756875E-2</v>
      </c>
      <c r="M32" s="119">
        <v>0</v>
      </c>
      <c r="N32" s="119">
        <v>0</v>
      </c>
      <c r="O32" s="119">
        <v>0</v>
      </c>
      <c r="P32" s="119">
        <v>0.21660667100677822</v>
      </c>
      <c r="Q32" s="119">
        <v>2.7524604603071264E-2</v>
      </c>
      <c r="R32" s="119">
        <v>0</v>
      </c>
      <c r="S32" s="119">
        <v>0</v>
      </c>
      <c r="T32" s="119">
        <v>0</v>
      </c>
      <c r="U32" s="119">
        <v>0</v>
      </c>
      <c r="V32" s="119">
        <v>42.433986641972126</v>
      </c>
      <c r="W32" s="120">
        <f>SUM(G32:V32)</f>
        <v>100</v>
      </c>
      <c r="X32" s="121">
        <f>SUM(X31-W34)</f>
        <v>-9945885</v>
      </c>
      <c r="Y32" s="122"/>
    </row>
    <row r="33" spans="1:26" s="36" customFormat="1" ht="12" x14ac:dyDescent="0.15">
      <c r="A33" s="34"/>
      <c r="B33" s="35"/>
      <c r="C33" s="35" t="s">
        <v>105</v>
      </c>
      <c r="D33" s="35"/>
      <c r="E33" s="35"/>
      <c r="F33" s="35"/>
      <c r="G33" s="123">
        <f>SUM(G35:G36)</f>
        <v>4632433</v>
      </c>
      <c r="H33" s="123">
        <f t="shared" ref="H33:W33" si="13">SUM(H35:H36)</f>
        <v>131733</v>
      </c>
      <c r="I33" s="123">
        <f t="shared" si="13"/>
        <v>0</v>
      </c>
      <c r="J33" s="123">
        <f t="shared" si="13"/>
        <v>1878</v>
      </c>
      <c r="K33" s="123">
        <f t="shared" si="13"/>
        <v>16610</v>
      </c>
      <c r="L33" s="123">
        <f t="shared" si="13"/>
        <v>40806</v>
      </c>
      <c r="M33" s="123">
        <f t="shared" si="13"/>
        <v>26505</v>
      </c>
      <c r="N33" s="123">
        <f t="shared" si="13"/>
        <v>0</v>
      </c>
      <c r="O33" s="123">
        <f t="shared" si="13"/>
        <v>0</v>
      </c>
      <c r="P33" s="123">
        <f t="shared" si="13"/>
        <v>34232</v>
      </c>
      <c r="Q33" s="123">
        <f t="shared" si="13"/>
        <v>41890</v>
      </c>
      <c r="R33" s="123">
        <f t="shared" si="13"/>
        <v>0</v>
      </c>
      <c r="S33" s="123">
        <f t="shared" si="13"/>
        <v>0</v>
      </c>
      <c r="T33" s="123">
        <f t="shared" si="13"/>
        <v>0</v>
      </c>
      <c r="U33" s="123">
        <f t="shared" si="13"/>
        <v>0</v>
      </c>
      <c r="V33" s="123">
        <f t="shared" si="13"/>
        <v>563327</v>
      </c>
      <c r="W33" s="123">
        <f t="shared" si="13"/>
        <v>5489414</v>
      </c>
      <c r="X33" s="124"/>
      <c r="Y33" s="125"/>
    </row>
    <row r="34" spans="1:26" s="12" customFormat="1" ht="12" x14ac:dyDescent="0.15">
      <c r="A34" s="186" t="s">
        <v>31</v>
      </c>
      <c r="B34" s="187"/>
      <c r="C34" s="187"/>
      <c r="D34" s="187"/>
      <c r="E34" s="187"/>
      <c r="F34" s="187"/>
      <c r="G34" s="39">
        <f>G35+G36+G40+G41+G42+G48+G49+G53+G59+G62+G63+G69+G70+G74+G75+G78+G79+G81+G77+G58</f>
        <v>6727798</v>
      </c>
      <c r="H34" s="39">
        <f t="shared" ref="H34:X34" si="14">H35+H36+H40+H41+H42+H48+H49+H53+H59+H62+H63+H69+H70+H74+H75+H78+H79+H81+H77+H58</f>
        <v>277782</v>
      </c>
      <c r="I34" s="39">
        <f t="shared" si="14"/>
        <v>0</v>
      </c>
      <c r="J34" s="39">
        <f t="shared" si="14"/>
        <v>3551</v>
      </c>
      <c r="K34" s="39">
        <f>K35+K36+K40+K41+K42+K48+K49+K53+K59+K62+K63+K69+K70+K74+K75+K78+K79+K81+K77+K58+K80</f>
        <v>9118831</v>
      </c>
      <c r="L34" s="39">
        <f t="shared" si="14"/>
        <v>58289</v>
      </c>
      <c r="M34" s="39">
        <f t="shared" si="14"/>
        <v>36699</v>
      </c>
      <c r="N34" s="39">
        <f t="shared" si="14"/>
        <v>64498</v>
      </c>
      <c r="O34" s="39">
        <f t="shared" si="14"/>
        <v>0</v>
      </c>
      <c r="P34" s="39">
        <f t="shared" si="14"/>
        <v>48341</v>
      </c>
      <c r="Q34" s="39">
        <f t="shared" si="14"/>
        <v>63720</v>
      </c>
      <c r="R34" s="39">
        <f t="shared" si="14"/>
        <v>0</v>
      </c>
      <c r="S34" s="39">
        <f t="shared" si="14"/>
        <v>140</v>
      </c>
      <c r="T34" s="39">
        <f t="shared" si="14"/>
        <v>82</v>
      </c>
      <c r="U34" s="39">
        <f t="shared" si="14"/>
        <v>3998</v>
      </c>
      <c r="V34" s="39">
        <f>V35+V36+V40+V41+V42+V48+V49+V53+V59+V62+V63+V69+V70+V74+V75+V78+V79+V81+V77+V58</f>
        <v>1660356</v>
      </c>
      <c r="W34" s="39">
        <f>W35+W36+W40+W41+W42+W48+W49+W53+W59+W62+W63+W69+W70+W74+W75+W78+W79+W81+W77+W58+W80</f>
        <v>18064085</v>
      </c>
      <c r="X34" s="39">
        <f t="shared" si="14"/>
        <v>8111396</v>
      </c>
      <c r="Y34" s="126">
        <f t="shared" si="2"/>
        <v>26175481</v>
      </c>
    </row>
    <row r="35" spans="1:26" s="20" customFormat="1" ht="12" x14ac:dyDescent="0.15">
      <c r="A35" s="194" t="s">
        <v>47</v>
      </c>
      <c r="B35" s="195"/>
      <c r="C35" s="195"/>
      <c r="D35" s="195"/>
      <c r="E35" s="195"/>
      <c r="F35" s="195"/>
      <c r="G35" s="71">
        <v>2571251</v>
      </c>
      <c r="H35" s="71">
        <v>114611</v>
      </c>
      <c r="I35" s="71">
        <f t="shared" ref="I35:U35" si="15">3322030*I28/100</f>
        <v>0</v>
      </c>
      <c r="J35" s="71">
        <v>1661</v>
      </c>
      <c r="K35" s="71">
        <v>16610</v>
      </c>
      <c r="L35" s="71">
        <v>33220</v>
      </c>
      <c r="M35" s="71">
        <v>23254</v>
      </c>
      <c r="N35" s="71">
        <f t="shared" si="15"/>
        <v>0</v>
      </c>
      <c r="O35" s="71">
        <f t="shared" si="15"/>
        <v>0</v>
      </c>
      <c r="P35" s="71">
        <v>29898</v>
      </c>
      <c r="Q35" s="71">
        <v>33220</v>
      </c>
      <c r="R35" s="71">
        <f t="shared" si="15"/>
        <v>0</v>
      </c>
      <c r="S35" s="71">
        <f t="shared" si="15"/>
        <v>0</v>
      </c>
      <c r="T35" s="71">
        <f t="shared" si="15"/>
        <v>0</v>
      </c>
      <c r="U35" s="71">
        <f t="shared" si="15"/>
        <v>0</v>
      </c>
      <c r="V35" s="71">
        <v>498305</v>
      </c>
      <c r="W35" s="127">
        <f t="shared" ref="W35:W81" si="16">SUM(G35:V35)</f>
        <v>3322030</v>
      </c>
      <c r="X35" s="71">
        <v>3322030</v>
      </c>
      <c r="Y35" s="128">
        <f>SUM(W35:X35)</f>
        <v>6644060</v>
      </c>
    </row>
    <row r="36" spans="1:26" s="20" customFormat="1" ht="12" x14ac:dyDescent="0.15">
      <c r="A36" s="190" t="s">
        <v>48</v>
      </c>
      <c r="B36" s="191"/>
      <c r="C36" s="191"/>
      <c r="D36" s="191"/>
      <c r="E36" s="191"/>
      <c r="F36" s="191"/>
      <c r="G36" s="71">
        <f>SUM(G37:G39)</f>
        <v>2061182</v>
      </c>
      <c r="H36" s="71">
        <f t="shared" ref="H36:X36" si="17">SUM(H37:H39)</f>
        <v>17122</v>
      </c>
      <c r="I36" s="71">
        <f t="shared" si="17"/>
        <v>0</v>
      </c>
      <c r="J36" s="71">
        <f t="shared" si="17"/>
        <v>217</v>
      </c>
      <c r="K36" s="71">
        <f t="shared" si="17"/>
        <v>0</v>
      </c>
      <c r="L36" s="71">
        <f t="shared" si="17"/>
        <v>7586</v>
      </c>
      <c r="M36" s="71">
        <f t="shared" si="17"/>
        <v>3251</v>
      </c>
      <c r="N36" s="71">
        <f t="shared" si="17"/>
        <v>0</v>
      </c>
      <c r="O36" s="71">
        <f t="shared" si="17"/>
        <v>0</v>
      </c>
      <c r="P36" s="71">
        <f t="shared" si="17"/>
        <v>4334</v>
      </c>
      <c r="Q36" s="71">
        <f t="shared" si="17"/>
        <v>8670</v>
      </c>
      <c r="R36" s="71">
        <f t="shared" si="17"/>
        <v>0</v>
      </c>
      <c r="S36" s="71">
        <f t="shared" si="17"/>
        <v>0</v>
      </c>
      <c r="T36" s="71">
        <f t="shared" si="17"/>
        <v>0</v>
      </c>
      <c r="U36" s="71">
        <f t="shared" si="17"/>
        <v>0</v>
      </c>
      <c r="V36" s="71">
        <f t="shared" si="17"/>
        <v>65022</v>
      </c>
      <c r="W36" s="127">
        <f t="shared" si="16"/>
        <v>2167384</v>
      </c>
      <c r="X36" s="71">
        <f t="shared" si="17"/>
        <v>2167384</v>
      </c>
      <c r="Y36" s="128">
        <f t="shared" si="2"/>
        <v>4334768</v>
      </c>
    </row>
    <row r="37" spans="1:26" s="12" customFormat="1" ht="12" x14ac:dyDescent="0.15">
      <c r="A37" s="196" t="s">
        <v>101</v>
      </c>
      <c r="B37" s="197"/>
      <c r="C37" s="197"/>
      <c r="D37" s="197"/>
      <c r="E37" s="197"/>
      <c r="F37" s="197"/>
      <c r="G37" s="39">
        <v>2049595</v>
      </c>
      <c r="H37" s="39">
        <v>17026</v>
      </c>
      <c r="I37" s="39">
        <v>0</v>
      </c>
      <c r="J37" s="39">
        <v>216</v>
      </c>
      <c r="K37" s="39">
        <v>0</v>
      </c>
      <c r="L37" s="39">
        <v>7543</v>
      </c>
      <c r="M37" s="39">
        <v>3233</v>
      </c>
      <c r="N37" s="39">
        <v>0</v>
      </c>
      <c r="O37" s="39">
        <v>0</v>
      </c>
      <c r="P37" s="39">
        <v>4310</v>
      </c>
      <c r="Q37" s="39">
        <v>8621</v>
      </c>
      <c r="R37" s="39">
        <v>0</v>
      </c>
      <c r="S37" s="39">
        <v>0</v>
      </c>
      <c r="T37" s="39">
        <v>0</v>
      </c>
      <c r="U37" s="39">
        <v>0</v>
      </c>
      <c r="V37" s="39">
        <v>64656</v>
      </c>
      <c r="W37" s="87">
        <f t="shared" si="16"/>
        <v>2155200</v>
      </c>
      <c r="X37" s="39">
        <v>2155200</v>
      </c>
      <c r="Y37" s="126">
        <f t="shared" si="2"/>
        <v>4310400</v>
      </c>
    </row>
    <row r="38" spans="1:26" s="12" customFormat="1" ht="6" customHeight="1" x14ac:dyDescent="0.15">
      <c r="A38" s="132" t="s">
        <v>100</v>
      </c>
      <c r="B38" s="133"/>
      <c r="C38" s="133"/>
      <c r="D38" s="133"/>
      <c r="E38" s="133"/>
      <c r="F38" s="13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87">
        <f t="shared" si="16"/>
        <v>0</v>
      </c>
      <c r="X38" s="39">
        <v>0</v>
      </c>
      <c r="Y38" s="126">
        <f t="shared" si="2"/>
        <v>0</v>
      </c>
    </row>
    <row r="39" spans="1:26" s="12" customFormat="1" ht="12" x14ac:dyDescent="0.15">
      <c r="A39" s="132" t="s">
        <v>99</v>
      </c>
      <c r="B39" s="133"/>
      <c r="C39" s="133"/>
      <c r="D39" s="133"/>
      <c r="E39" s="133"/>
      <c r="F39" s="133"/>
      <c r="G39" s="39">
        <v>11587</v>
      </c>
      <c r="H39" s="39">
        <v>96</v>
      </c>
      <c r="I39" s="39">
        <f t="shared" ref="I39:K39" si="18">12184*I29/100</f>
        <v>0</v>
      </c>
      <c r="J39" s="39">
        <v>1</v>
      </c>
      <c r="K39" s="39">
        <f t="shared" si="18"/>
        <v>0</v>
      </c>
      <c r="L39" s="39">
        <v>43</v>
      </c>
      <c r="M39" s="39">
        <v>18</v>
      </c>
      <c r="N39" s="39">
        <v>0</v>
      </c>
      <c r="O39" s="39">
        <v>0</v>
      </c>
      <c r="P39" s="39">
        <v>24</v>
      </c>
      <c r="Q39" s="39">
        <v>49</v>
      </c>
      <c r="R39" s="39">
        <v>0</v>
      </c>
      <c r="S39" s="39">
        <v>0</v>
      </c>
      <c r="T39" s="39">
        <v>0</v>
      </c>
      <c r="U39" s="39">
        <v>0</v>
      </c>
      <c r="V39" s="39">
        <v>366</v>
      </c>
      <c r="W39" s="87">
        <f t="shared" si="16"/>
        <v>12184</v>
      </c>
      <c r="X39" s="39">
        <v>12184</v>
      </c>
      <c r="Y39" s="126">
        <f t="shared" si="2"/>
        <v>24368</v>
      </c>
    </row>
    <row r="40" spans="1:26" s="20" customFormat="1" ht="12" x14ac:dyDescent="0.15">
      <c r="A40" s="198" t="s">
        <v>102</v>
      </c>
      <c r="B40" s="199"/>
      <c r="C40" s="199"/>
      <c r="D40" s="199"/>
      <c r="E40" s="199"/>
      <c r="F40" s="199"/>
      <c r="G40" s="71">
        <f t="shared" ref="G40:V40" si="19">0*G28/100</f>
        <v>0</v>
      </c>
      <c r="H40" s="71">
        <f t="shared" si="19"/>
        <v>0</v>
      </c>
      <c r="I40" s="71">
        <f t="shared" si="19"/>
        <v>0</v>
      </c>
      <c r="J40" s="71">
        <f t="shared" si="19"/>
        <v>0</v>
      </c>
      <c r="K40" s="71">
        <f t="shared" si="19"/>
        <v>0</v>
      </c>
      <c r="L40" s="71">
        <f t="shared" si="19"/>
        <v>0</v>
      </c>
      <c r="M40" s="71">
        <f t="shared" si="19"/>
        <v>0</v>
      </c>
      <c r="N40" s="71">
        <f t="shared" si="19"/>
        <v>0</v>
      </c>
      <c r="O40" s="71">
        <f t="shared" si="19"/>
        <v>0</v>
      </c>
      <c r="P40" s="71">
        <f t="shared" si="19"/>
        <v>0</v>
      </c>
      <c r="Q40" s="71">
        <f t="shared" si="19"/>
        <v>0</v>
      </c>
      <c r="R40" s="71">
        <f t="shared" si="19"/>
        <v>0</v>
      </c>
      <c r="S40" s="71">
        <f t="shared" si="19"/>
        <v>0</v>
      </c>
      <c r="T40" s="71">
        <f t="shared" si="19"/>
        <v>0</v>
      </c>
      <c r="U40" s="71">
        <f t="shared" si="19"/>
        <v>0</v>
      </c>
      <c r="V40" s="71">
        <f t="shared" si="19"/>
        <v>0</v>
      </c>
      <c r="W40" s="127">
        <f t="shared" si="16"/>
        <v>0</v>
      </c>
      <c r="X40" s="71"/>
      <c r="Y40" s="128">
        <f t="shared" si="2"/>
        <v>0</v>
      </c>
    </row>
    <row r="41" spans="1:26" s="20" customFormat="1" ht="12" x14ac:dyDescent="0.15">
      <c r="A41" s="190" t="s">
        <v>145</v>
      </c>
      <c r="B41" s="191"/>
      <c r="C41" s="191"/>
      <c r="D41" s="191"/>
      <c r="E41" s="191"/>
      <c r="F41" s="19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>
        <v>92000</v>
      </c>
      <c r="W41" s="127">
        <f t="shared" si="16"/>
        <v>92000</v>
      </c>
      <c r="X41" s="71">
        <v>92000</v>
      </c>
      <c r="Y41" s="128">
        <f t="shared" si="2"/>
        <v>184000</v>
      </c>
    </row>
    <row r="42" spans="1:26" s="20" customFormat="1" ht="12" x14ac:dyDescent="0.15">
      <c r="A42" s="190" t="s">
        <v>49</v>
      </c>
      <c r="B42" s="191"/>
      <c r="C42" s="191"/>
      <c r="D42" s="191"/>
      <c r="E42" s="191"/>
      <c r="F42" s="191"/>
      <c r="G42" s="71">
        <f>SUM(G43:G47)</f>
        <v>779836</v>
      </c>
      <c r="H42" s="71">
        <f t="shared" ref="H42:X42" si="20">SUM(H43:H47)</f>
        <v>22176</v>
      </c>
      <c r="I42" s="71">
        <f t="shared" si="20"/>
        <v>0</v>
      </c>
      <c r="J42" s="71">
        <f t="shared" si="20"/>
        <v>316</v>
      </c>
      <c r="K42" s="71">
        <f t="shared" si="20"/>
        <v>2796</v>
      </c>
      <c r="L42" s="71">
        <f t="shared" si="20"/>
        <v>6869</v>
      </c>
      <c r="M42" s="71">
        <f t="shared" si="20"/>
        <v>4462</v>
      </c>
      <c r="N42" s="71">
        <f t="shared" si="20"/>
        <v>0</v>
      </c>
      <c r="O42" s="71">
        <f t="shared" si="20"/>
        <v>0</v>
      </c>
      <c r="P42" s="71">
        <f t="shared" si="20"/>
        <v>5763</v>
      </c>
      <c r="Q42" s="71">
        <f t="shared" si="20"/>
        <v>7052</v>
      </c>
      <c r="R42" s="71">
        <f t="shared" si="20"/>
        <v>0</v>
      </c>
      <c r="S42" s="71">
        <f t="shared" si="20"/>
        <v>0</v>
      </c>
      <c r="T42" s="71">
        <f t="shared" si="20"/>
        <v>0</v>
      </c>
      <c r="U42" s="71">
        <f t="shared" si="20"/>
        <v>0</v>
      </c>
      <c r="V42" s="71">
        <f t="shared" si="20"/>
        <v>256032</v>
      </c>
      <c r="W42" s="127">
        <f t="shared" si="16"/>
        <v>1085302</v>
      </c>
      <c r="X42" s="71">
        <f t="shared" si="20"/>
        <v>1085302</v>
      </c>
      <c r="Y42" s="128">
        <f t="shared" si="2"/>
        <v>2170604</v>
      </c>
    </row>
    <row r="43" spans="1:26" s="12" customFormat="1" ht="12" x14ac:dyDescent="0.15">
      <c r="A43" s="188" t="s">
        <v>50</v>
      </c>
      <c r="B43" s="189"/>
      <c r="C43" s="189"/>
      <c r="D43" s="189"/>
      <c r="E43" s="189"/>
      <c r="F43" s="189"/>
      <c r="G43" s="39">
        <v>721074</v>
      </c>
      <c r="H43" s="39">
        <v>20505</v>
      </c>
      <c r="I43" s="39">
        <f t="shared" ref="I43:U43" si="21">854470*I30/100</f>
        <v>0</v>
      </c>
      <c r="J43" s="39">
        <v>292</v>
      </c>
      <c r="K43" s="39">
        <v>2585</v>
      </c>
      <c r="L43" s="39">
        <v>6352</v>
      </c>
      <c r="M43" s="39">
        <v>4126</v>
      </c>
      <c r="N43" s="39">
        <f t="shared" si="21"/>
        <v>0</v>
      </c>
      <c r="O43" s="39">
        <f t="shared" si="21"/>
        <v>0</v>
      </c>
      <c r="P43" s="39">
        <v>5330</v>
      </c>
      <c r="Q43" s="39">
        <v>6520</v>
      </c>
      <c r="R43" s="39">
        <f t="shared" si="21"/>
        <v>0</v>
      </c>
      <c r="S43" s="39">
        <f t="shared" si="21"/>
        <v>0</v>
      </c>
      <c r="T43" s="39">
        <f t="shared" si="21"/>
        <v>0</v>
      </c>
      <c r="U43" s="39">
        <f t="shared" si="21"/>
        <v>0</v>
      </c>
      <c r="V43" s="39">
        <v>87686</v>
      </c>
      <c r="W43" s="87">
        <f t="shared" si="16"/>
        <v>854470</v>
      </c>
      <c r="X43" s="39">
        <v>854470</v>
      </c>
      <c r="Y43" s="126">
        <f t="shared" si="2"/>
        <v>1708940</v>
      </c>
    </row>
    <row r="44" spans="1:26" s="12" customFormat="1" ht="12" x14ac:dyDescent="0.15">
      <c r="A44" s="188" t="s">
        <v>51</v>
      </c>
      <c r="B44" s="189"/>
      <c r="C44" s="189"/>
      <c r="D44" s="189"/>
      <c r="E44" s="189"/>
      <c r="F44" s="189"/>
      <c r="G44" s="39">
        <v>16002</v>
      </c>
      <c r="H44" s="39">
        <v>455</v>
      </c>
      <c r="I44" s="39">
        <f t="shared" ref="I44:U44" si="22">18962*I30/100</f>
        <v>0</v>
      </c>
      <c r="J44" s="39">
        <v>6</v>
      </c>
      <c r="K44" s="39">
        <v>58</v>
      </c>
      <c r="L44" s="39">
        <v>140</v>
      </c>
      <c r="M44" s="39">
        <v>92</v>
      </c>
      <c r="N44" s="39">
        <f t="shared" si="22"/>
        <v>0</v>
      </c>
      <c r="O44" s="39">
        <f t="shared" si="22"/>
        <v>0</v>
      </c>
      <c r="P44" s="39">
        <v>118</v>
      </c>
      <c r="Q44" s="39">
        <v>145</v>
      </c>
      <c r="R44" s="39">
        <f t="shared" si="22"/>
        <v>0</v>
      </c>
      <c r="S44" s="39">
        <f t="shared" si="22"/>
        <v>0</v>
      </c>
      <c r="T44" s="39">
        <f t="shared" si="22"/>
        <v>0</v>
      </c>
      <c r="U44" s="39">
        <f t="shared" si="22"/>
        <v>0</v>
      </c>
      <c r="V44" s="39">
        <v>1946</v>
      </c>
      <c r="W44" s="87">
        <f t="shared" si="16"/>
        <v>18962</v>
      </c>
      <c r="X44" s="39">
        <v>18962</v>
      </c>
      <c r="Y44" s="126">
        <f t="shared" si="2"/>
        <v>37924</v>
      </c>
    </row>
    <row r="45" spans="1:26" s="12" customFormat="1" ht="12" x14ac:dyDescent="0.15">
      <c r="A45" s="188" t="s">
        <v>52</v>
      </c>
      <c r="B45" s="189"/>
      <c r="C45" s="189"/>
      <c r="D45" s="189"/>
      <c r="E45" s="189"/>
      <c r="F45" s="189"/>
      <c r="G45" s="39">
        <v>15629</v>
      </c>
      <c r="H45" s="39">
        <v>444</v>
      </c>
      <c r="I45" s="39">
        <f t="shared" ref="I45:U45" si="23">18520*I30/100</f>
        <v>0</v>
      </c>
      <c r="J45" s="39">
        <v>7</v>
      </c>
      <c r="K45" s="39">
        <v>56</v>
      </c>
      <c r="L45" s="39">
        <v>138</v>
      </c>
      <c r="M45" s="39">
        <v>89</v>
      </c>
      <c r="N45" s="39">
        <f t="shared" si="23"/>
        <v>0</v>
      </c>
      <c r="O45" s="39">
        <f t="shared" si="23"/>
        <v>0</v>
      </c>
      <c r="P45" s="39">
        <v>115</v>
      </c>
      <c r="Q45" s="39">
        <v>141</v>
      </c>
      <c r="R45" s="39">
        <f t="shared" si="23"/>
        <v>0</v>
      </c>
      <c r="S45" s="39">
        <f t="shared" si="23"/>
        <v>0</v>
      </c>
      <c r="T45" s="39">
        <f t="shared" si="23"/>
        <v>0</v>
      </c>
      <c r="U45" s="39">
        <f t="shared" si="23"/>
        <v>0</v>
      </c>
      <c r="V45" s="39">
        <v>1901</v>
      </c>
      <c r="W45" s="87">
        <f t="shared" si="16"/>
        <v>18520</v>
      </c>
      <c r="X45" s="39">
        <v>18520</v>
      </c>
      <c r="Y45" s="126">
        <f t="shared" si="2"/>
        <v>37040</v>
      </c>
    </row>
    <row r="46" spans="1:26" s="12" customFormat="1" ht="12" x14ac:dyDescent="0.15">
      <c r="A46" s="188" t="s">
        <v>53</v>
      </c>
      <c r="B46" s="189"/>
      <c r="C46" s="189"/>
      <c r="D46" s="189"/>
      <c r="E46" s="189"/>
      <c r="F46" s="189"/>
      <c r="G46" s="39">
        <v>27131</v>
      </c>
      <c r="H46" s="39">
        <v>772</v>
      </c>
      <c r="I46" s="39">
        <f t="shared" ref="I46:U46" si="24">32150*I30/100</f>
        <v>0</v>
      </c>
      <c r="J46" s="39">
        <v>11</v>
      </c>
      <c r="K46" s="39">
        <v>97</v>
      </c>
      <c r="L46" s="39">
        <v>239</v>
      </c>
      <c r="M46" s="39">
        <v>155</v>
      </c>
      <c r="N46" s="39">
        <f t="shared" si="24"/>
        <v>0</v>
      </c>
      <c r="O46" s="39">
        <f t="shared" si="24"/>
        <v>0</v>
      </c>
      <c r="P46" s="39">
        <v>200</v>
      </c>
      <c r="Q46" s="39">
        <v>246</v>
      </c>
      <c r="R46" s="39">
        <f t="shared" si="24"/>
        <v>0</v>
      </c>
      <c r="S46" s="39">
        <f t="shared" si="24"/>
        <v>0</v>
      </c>
      <c r="T46" s="39">
        <f t="shared" si="24"/>
        <v>0</v>
      </c>
      <c r="U46" s="39">
        <f t="shared" si="24"/>
        <v>0</v>
      </c>
      <c r="V46" s="39">
        <v>3299</v>
      </c>
      <c r="W46" s="87">
        <f t="shared" si="16"/>
        <v>32150</v>
      </c>
      <c r="X46" s="39">
        <v>32150</v>
      </c>
      <c r="Y46" s="126">
        <f t="shared" si="2"/>
        <v>64300</v>
      </c>
    </row>
    <row r="47" spans="1:26" s="12" customFormat="1" ht="10.5" customHeight="1" x14ac:dyDescent="0.15">
      <c r="A47" s="186" t="s">
        <v>54</v>
      </c>
      <c r="B47" s="187"/>
      <c r="C47" s="187"/>
      <c r="D47" s="187"/>
      <c r="E47" s="187"/>
      <c r="F47" s="187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>
        <v>161200</v>
      </c>
      <c r="W47" s="87">
        <f t="shared" si="16"/>
        <v>161200</v>
      </c>
      <c r="X47" s="39">
        <v>161200</v>
      </c>
      <c r="Y47" s="126">
        <f t="shared" si="2"/>
        <v>322400</v>
      </c>
      <c r="Z47" s="21"/>
    </row>
    <row r="48" spans="1:26" s="20" customFormat="1" ht="10.5" customHeight="1" x14ac:dyDescent="0.15">
      <c r="A48" s="190" t="s">
        <v>32</v>
      </c>
      <c r="B48" s="191"/>
      <c r="C48" s="191"/>
      <c r="D48" s="191"/>
      <c r="E48" s="191"/>
      <c r="F48" s="191"/>
      <c r="G48" s="71">
        <v>24000</v>
      </c>
      <c r="H48" s="71">
        <v>0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>
        <v>151920</v>
      </c>
      <c r="W48" s="127">
        <f t="shared" si="16"/>
        <v>175920</v>
      </c>
      <c r="X48" s="71">
        <v>151920</v>
      </c>
      <c r="Y48" s="128">
        <f t="shared" si="2"/>
        <v>327840</v>
      </c>
      <c r="Z48" s="19"/>
    </row>
    <row r="49" spans="1:27" s="20" customFormat="1" ht="12" x14ac:dyDescent="0.15">
      <c r="A49" s="190" t="s">
        <v>33</v>
      </c>
      <c r="B49" s="191"/>
      <c r="C49" s="191"/>
      <c r="D49" s="191"/>
      <c r="E49" s="191"/>
      <c r="F49" s="191"/>
      <c r="G49" s="71">
        <f>SUM(G50:G52)</f>
        <v>277131</v>
      </c>
      <c r="H49" s="71">
        <f t="shared" ref="H49:X49" si="25">SUM(H50:H52)</f>
        <v>18790</v>
      </c>
      <c r="I49" s="71">
        <f t="shared" si="25"/>
        <v>0</v>
      </c>
      <c r="J49" s="71">
        <f t="shared" si="25"/>
        <v>89</v>
      </c>
      <c r="K49" s="71">
        <f t="shared" si="25"/>
        <v>9398</v>
      </c>
      <c r="L49" s="71">
        <f t="shared" si="25"/>
        <v>1936</v>
      </c>
      <c r="M49" s="71">
        <f t="shared" si="25"/>
        <v>1258</v>
      </c>
      <c r="N49" s="71">
        <f t="shared" si="25"/>
        <v>57560</v>
      </c>
      <c r="O49" s="71">
        <f t="shared" si="25"/>
        <v>0</v>
      </c>
      <c r="P49" s="71">
        <f t="shared" si="25"/>
        <v>1624</v>
      </c>
      <c r="Q49" s="71">
        <f t="shared" si="25"/>
        <v>1987</v>
      </c>
      <c r="R49" s="71">
        <f t="shared" si="25"/>
        <v>0</v>
      </c>
      <c r="S49" s="71">
        <f t="shared" si="25"/>
        <v>0</v>
      </c>
      <c r="T49" s="71">
        <f t="shared" si="25"/>
        <v>0</v>
      </c>
      <c r="U49" s="71">
        <f t="shared" si="25"/>
        <v>1250</v>
      </c>
      <c r="V49" s="71">
        <f t="shared" si="25"/>
        <v>243167</v>
      </c>
      <c r="W49" s="127">
        <f t="shared" si="16"/>
        <v>614190</v>
      </c>
      <c r="X49" s="71">
        <f t="shared" si="25"/>
        <v>434420</v>
      </c>
      <c r="Y49" s="128">
        <f t="shared" si="2"/>
        <v>1048610</v>
      </c>
      <c r="Z49" s="19"/>
      <c r="AA49" s="19"/>
    </row>
    <row r="50" spans="1:27" s="12" customFormat="1" ht="12" x14ac:dyDescent="0.15">
      <c r="A50" s="186" t="s">
        <v>34</v>
      </c>
      <c r="B50" s="187"/>
      <c r="C50" s="187"/>
      <c r="D50" s="187"/>
      <c r="E50" s="187"/>
      <c r="F50" s="187"/>
      <c r="G50" s="39">
        <v>57350</v>
      </c>
      <c r="H50" s="39">
        <v>12540</v>
      </c>
      <c r="I50" s="39"/>
      <c r="J50" s="39"/>
      <c r="K50" s="39">
        <v>8610</v>
      </c>
      <c r="L50" s="39"/>
      <c r="M50" s="39"/>
      <c r="N50" s="39">
        <v>57560</v>
      </c>
      <c r="O50" s="39"/>
      <c r="P50" s="39"/>
      <c r="Q50" s="39"/>
      <c r="R50" s="39"/>
      <c r="S50" s="39"/>
      <c r="T50" s="39"/>
      <c r="U50" s="39">
        <v>1250</v>
      </c>
      <c r="V50" s="39">
        <v>42460</v>
      </c>
      <c r="W50" s="87">
        <f t="shared" si="16"/>
        <v>179770</v>
      </c>
      <c r="X50" s="97"/>
      <c r="Y50" s="126">
        <f t="shared" si="2"/>
        <v>179770</v>
      </c>
    </row>
    <row r="51" spans="1:27" s="12" customFormat="1" ht="12" x14ac:dyDescent="0.15">
      <c r="A51" s="188" t="s">
        <v>79</v>
      </c>
      <c r="B51" s="189"/>
      <c r="C51" s="189"/>
      <c r="D51" s="189"/>
      <c r="E51" s="189"/>
      <c r="F51" s="189"/>
      <c r="G51" s="39">
        <v>219781</v>
      </c>
      <c r="H51" s="39">
        <v>6250</v>
      </c>
      <c r="I51" s="39">
        <v>0</v>
      </c>
      <c r="J51" s="39">
        <v>89</v>
      </c>
      <c r="K51" s="39">
        <v>788</v>
      </c>
      <c r="L51" s="39">
        <v>1936</v>
      </c>
      <c r="M51" s="39">
        <v>1258</v>
      </c>
      <c r="N51" s="39">
        <v>0</v>
      </c>
      <c r="O51" s="39">
        <v>0</v>
      </c>
      <c r="P51" s="39">
        <v>1624</v>
      </c>
      <c r="Q51" s="39">
        <v>1987</v>
      </c>
      <c r="R51" s="39">
        <v>0</v>
      </c>
      <c r="S51" s="39">
        <v>0</v>
      </c>
      <c r="T51" s="39">
        <v>0</v>
      </c>
      <c r="U51" s="39">
        <v>0</v>
      </c>
      <c r="V51" s="39">
        <v>26727</v>
      </c>
      <c r="W51" s="87">
        <f t="shared" si="16"/>
        <v>260440</v>
      </c>
      <c r="X51" s="39">
        <v>260440</v>
      </c>
      <c r="Y51" s="126">
        <f t="shared" si="2"/>
        <v>520880</v>
      </c>
    </row>
    <row r="52" spans="1:27" s="12" customFormat="1" ht="12" x14ac:dyDescent="0.15">
      <c r="A52" s="186" t="s">
        <v>35</v>
      </c>
      <c r="B52" s="187"/>
      <c r="C52" s="187"/>
      <c r="D52" s="187"/>
      <c r="E52" s="187"/>
      <c r="F52" s="187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>
        <v>173980</v>
      </c>
      <c r="W52" s="87">
        <f t="shared" si="16"/>
        <v>173980</v>
      </c>
      <c r="X52" s="39">
        <v>173980</v>
      </c>
      <c r="Y52" s="126">
        <f t="shared" si="2"/>
        <v>347960</v>
      </c>
    </row>
    <row r="53" spans="1:27" s="20" customFormat="1" ht="12" x14ac:dyDescent="0.15">
      <c r="A53" s="190" t="s">
        <v>36</v>
      </c>
      <c r="B53" s="191"/>
      <c r="C53" s="191"/>
      <c r="D53" s="191"/>
      <c r="E53" s="191"/>
      <c r="F53" s="191"/>
      <c r="G53" s="71">
        <f>SUM(G54:G57)</f>
        <v>134532</v>
      </c>
      <c r="H53" s="71">
        <f t="shared" ref="H53:X53" si="26">SUM(H54:H57)</f>
        <v>23534</v>
      </c>
      <c r="I53" s="71">
        <f t="shared" si="26"/>
        <v>0</v>
      </c>
      <c r="J53" s="71">
        <f t="shared" si="26"/>
        <v>975</v>
      </c>
      <c r="K53" s="71">
        <f t="shared" si="26"/>
        <v>7434</v>
      </c>
      <c r="L53" s="71">
        <f t="shared" si="26"/>
        <v>2309</v>
      </c>
      <c r="M53" s="71">
        <f t="shared" si="26"/>
        <v>337</v>
      </c>
      <c r="N53" s="71">
        <f t="shared" si="26"/>
        <v>6718</v>
      </c>
      <c r="O53" s="71">
        <f t="shared" si="26"/>
        <v>0</v>
      </c>
      <c r="P53" s="71">
        <f t="shared" si="26"/>
        <v>1379</v>
      </c>
      <c r="Q53" s="71">
        <f t="shared" si="26"/>
        <v>6252</v>
      </c>
      <c r="R53" s="71">
        <f t="shared" si="26"/>
        <v>0</v>
      </c>
      <c r="S53" s="71">
        <f t="shared" si="26"/>
        <v>140</v>
      </c>
      <c r="T53" s="71">
        <f t="shared" si="26"/>
        <v>82</v>
      </c>
      <c r="U53" s="71">
        <f t="shared" si="26"/>
        <v>2748</v>
      </c>
      <c r="V53" s="71">
        <f t="shared" si="26"/>
        <v>81376</v>
      </c>
      <c r="W53" s="127">
        <f t="shared" si="16"/>
        <v>267816</v>
      </c>
      <c r="X53" s="71">
        <f t="shared" si="26"/>
        <v>118908</v>
      </c>
      <c r="Y53" s="128">
        <f t="shared" si="2"/>
        <v>386724</v>
      </c>
      <c r="Z53" s="19"/>
      <c r="AA53" s="19"/>
    </row>
    <row r="54" spans="1:27" s="12" customFormat="1" ht="12" x14ac:dyDescent="0.15">
      <c r="A54" s="186" t="s">
        <v>37</v>
      </c>
      <c r="B54" s="187"/>
      <c r="C54" s="187"/>
      <c r="D54" s="187"/>
      <c r="E54" s="187"/>
      <c r="F54" s="187"/>
      <c r="G54" s="39">
        <v>8856</v>
      </c>
      <c r="H54" s="39">
        <v>1750</v>
      </c>
      <c r="I54" s="39"/>
      <c r="J54" s="39"/>
      <c r="K54" s="39">
        <v>4536</v>
      </c>
      <c r="L54" s="39">
        <v>1728</v>
      </c>
      <c r="M54" s="39">
        <v>173</v>
      </c>
      <c r="N54" s="39">
        <v>0</v>
      </c>
      <c r="O54" s="39"/>
      <c r="P54" s="39">
        <v>677</v>
      </c>
      <c r="Q54" s="39">
        <v>4334</v>
      </c>
      <c r="R54" s="39">
        <v>0</v>
      </c>
      <c r="S54" s="39"/>
      <c r="T54" s="39">
        <v>0</v>
      </c>
      <c r="U54" s="39"/>
      <c r="V54" s="39">
        <v>1728</v>
      </c>
      <c r="W54" s="87">
        <f t="shared" si="16"/>
        <v>23782</v>
      </c>
      <c r="X54" s="39">
        <v>1728</v>
      </c>
      <c r="Y54" s="126">
        <f t="shared" si="2"/>
        <v>25510</v>
      </c>
    </row>
    <row r="55" spans="1:27" s="12" customFormat="1" ht="12" x14ac:dyDescent="0.15">
      <c r="A55" s="192" t="s">
        <v>106</v>
      </c>
      <c r="B55" s="193"/>
      <c r="C55" s="193"/>
      <c r="D55" s="193"/>
      <c r="E55" s="193"/>
      <c r="F55" s="193"/>
      <c r="G55" s="129">
        <v>63869</v>
      </c>
      <c r="H55" s="129">
        <v>3219</v>
      </c>
      <c r="I55" s="129">
        <v>0</v>
      </c>
      <c r="J55" s="129">
        <v>34</v>
      </c>
      <c r="K55" s="129">
        <v>0</v>
      </c>
      <c r="L55" s="129">
        <v>48</v>
      </c>
      <c r="M55" s="129">
        <v>0</v>
      </c>
      <c r="N55" s="129">
        <v>0</v>
      </c>
      <c r="O55" s="129">
        <v>0</v>
      </c>
      <c r="P55" s="129">
        <v>254</v>
      </c>
      <c r="Q55" s="129">
        <v>32</v>
      </c>
      <c r="R55" s="129">
        <v>0</v>
      </c>
      <c r="S55" s="129">
        <v>0</v>
      </c>
      <c r="T55" s="129">
        <v>0</v>
      </c>
      <c r="U55" s="129">
        <v>0</v>
      </c>
      <c r="V55" s="129">
        <v>49724</v>
      </c>
      <c r="W55" s="129">
        <f>SUM(G55:V55)</f>
        <v>117180</v>
      </c>
      <c r="X55" s="39">
        <v>117180</v>
      </c>
      <c r="Y55" s="126">
        <f t="shared" si="2"/>
        <v>234360</v>
      </c>
    </row>
    <row r="56" spans="1:27" s="12" customFormat="1" ht="12" x14ac:dyDescent="0.15">
      <c r="A56" s="186" t="s">
        <v>38</v>
      </c>
      <c r="B56" s="187"/>
      <c r="C56" s="187"/>
      <c r="D56" s="187"/>
      <c r="E56" s="187"/>
      <c r="F56" s="187"/>
      <c r="G56" s="39">
        <v>7680</v>
      </c>
      <c r="H56" s="39">
        <v>1620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87">
        <f t="shared" si="16"/>
        <v>9300</v>
      </c>
      <c r="X56" s="39"/>
      <c r="Y56" s="126">
        <f t="shared" si="2"/>
        <v>9300</v>
      </c>
    </row>
    <row r="57" spans="1:27" s="12" customFormat="1" ht="12" x14ac:dyDescent="0.15">
      <c r="A57" s="186" t="s">
        <v>39</v>
      </c>
      <c r="B57" s="187"/>
      <c r="C57" s="187"/>
      <c r="D57" s="187"/>
      <c r="E57" s="187"/>
      <c r="F57" s="187"/>
      <c r="G57" s="39">
        <v>54127</v>
      </c>
      <c r="H57" s="39">
        <v>16945</v>
      </c>
      <c r="I57" s="39"/>
      <c r="J57" s="39">
        <v>941</v>
      </c>
      <c r="K57" s="39">
        <v>2898</v>
      </c>
      <c r="L57" s="39">
        <v>533</v>
      </c>
      <c r="M57" s="39">
        <v>164</v>
      </c>
      <c r="N57" s="39">
        <v>6718</v>
      </c>
      <c r="O57" s="39"/>
      <c r="P57" s="39">
        <v>448</v>
      </c>
      <c r="Q57" s="39">
        <v>1886</v>
      </c>
      <c r="R57" s="39">
        <v>0</v>
      </c>
      <c r="S57" s="39">
        <v>140</v>
      </c>
      <c r="T57" s="39">
        <v>82</v>
      </c>
      <c r="U57" s="39">
        <v>2748</v>
      </c>
      <c r="V57" s="39">
        <v>29924</v>
      </c>
      <c r="W57" s="87">
        <f t="shared" si="16"/>
        <v>117554</v>
      </c>
      <c r="X57" s="97"/>
      <c r="Y57" s="126">
        <f t="shared" si="2"/>
        <v>117554</v>
      </c>
    </row>
    <row r="58" spans="1:27" s="20" customFormat="1" ht="12" x14ac:dyDescent="0.15">
      <c r="A58" s="188" t="s">
        <v>89</v>
      </c>
      <c r="B58" s="189"/>
      <c r="C58" s="189"/>
      <c r="D58" s="189"/>
      <c r="E58" s="189"/>
      <c r="F58" s="189"/>
      <c r="G58" s="71">
        <v>23079</v>
      </c>
      <c r="H58" s="71">
        <v>656</v>
      </c>
      <c r="I58" s="71">
        <v>0</v>
      </c>
      <c r="J58" s="71">
        <v>9</v>
      </c>
      <c r="K58" s="71">
        <v>83</v>
      </c>
      <c r="L58" s="71">
        <v>203</v>
      </c>
      <c r="M58" s="71">
        <v>132</v>
      </c>
      <c r="N58" s="71">
        <v>0</v>
      </c>
      <c r="O58" s="71">
        <v>0</v>
      </c>
      <c r="P58" s="71">
        <v>171</v>
      </c>
      <c r="Q58" s="71">
        <v>209</v>
      </c>
      <c r="R58" s="71">
        <v>0</v>
      </c>
      <c r="S58" s="71">
        <v>0</v>
      </c>
      <c r="T58" s="71">
        <v>0</v>
      </c>
      <c r="U58" s="71">
        <v>0</v>
      </c>
      <c r="V58" s="71">
        <v>2807</v>
      </c>
      <c r="W58" s="127">
        <f t="shared" si="16"/>
        <v>27349</v>
      </c>
      <c r="X58" s="71"/>
      <c r="Y58" s="128">
        <f t="shared" si="2"/>
        <v>27349</v>
      </c>
      <c r="Z58" s="19"/>
      <c r="AA58" s="19"/>
    </row>
    <row r="59" spans="1:27" s="20" customFormat="1" ht="12" x14ac:dyDescent="0.15">
      <c r="A59" s="190" t="s">
        <v>40</v>
      </c>
      <c r="B59" s="191"/>
      <c r="C59" s="191"/>
      <c r="D59" s="191"/>
      <c r="E59" s="191"/>
      <c r="F59" s="191"/>
      <c r="G59" s="71">
        <f>SUM(G60:G61)</f>
        <v>112369</v>
      </c>
      <c r="H59" s="71">
        <f t="shared" ref="H59:V59" si="27">SUM(H60:H61)</f>
        <v>7861</v>
      </c>
      <c r="I59" s="71">
        <f t="shared" si="27"/>
        <v>0</v>
      </c>
      <c r="J59" s="71">
        <f t="shared" si="27"/>
        <v>41</v>
      </c>
      <c r="K59" s="71">
        <f t="shared" si="27"/>
        <v>363</v>
      </c>
      <c r="L59" s="71">
        <f t="shared" si="27"/>
        <v>890</v>
      </c>
      <c r="M59" s="71">
        <f t="shared" si="27"/>
        <v>578</v>
      </c>
      <c r="N59" s="71">
        <f t="shared" si="27"/>
        <v>0</v>
      </c>
      <c r="O59" s="71">
        <f t="shared" si="27"/>
        <v>0</v>
      </c>
      <c r="P59" s="71">
        <f t="shared" si="27"/>
        <v>747</v>
      </c>
      <c r="Q59" s="71">
        <f t="shared" si="27"/>
        <v>914</v>
      </c>
      <c r="R59" s="71">
        <f t="shared" si="27"/>
        <v>0</v>
      </c>
      <c r="S59" s="71">
        <f t="shared" si="27"/>
        <v>0</v>
      </c>
      <c r="T59" s="71">
        <f t="shared" si="27"/>
        <v>0</v>
      </c>
      <c r="U59" s="71">
        <f t="shared" si="27"/>
        <v>0</v>
      </c>
      <c r="V59" s="71">
        <f t="shared" si="27"/>
        <v>24422</v>
      </c>
      <c r="W59" s="71">
        <f>SUM(W60:W61)</f>
        <v>148185</v>
      </c>
      <c r="X59" s="71"/>
      <c r="Y59" s="128">
        <f t="shared" si="2"/>
        <v>148185</v>
      </c>
      <c r="Z59" s="19"/>
      <c r="AA59" s="19"/>
    </row>
    <row r="60" spans="1:27" s="20" customFormat="1" ht="12" x14ac:dyDescent="0.15">
      <c r="A60" s="136"/>
      <c r="B60" s="142"/>
      <c r="C60" s="142"/>
      <c r="D60" s="142" t="s">
        <v>92</v>
      </c>
      <c r="E60" s="142"/>
      <c r="F60" s="142"/>
      <c r="G60" s="96">
        <v>11303</v>
      </c>
      <c r="H60" s="96">
        <v>4987</v>
      </c>
      <c r="I60" s="96"/>
      <c r="J60" s="96"/>
      <c r="K60" s="96"/>
      <c r="L60" s="96"/>
      <c r="M60" s="96">
        <v>0</v>
      </c>
      <c r="N60" s="96">
        <v>0</v>
      </c>
      <c r="O60" s="96"/>
      <c r="P60" s="96"/>
      <c r="Q60" s="96"/>
      <c r="R60" s="96"/>
      <c r="S60" s="96"/>
      <c r="T60" s="96"/>
      <c r="U60" s="96"/>
      <c r="V60" s="96">
        <v>12132</v>
      </c>
      <c r="W60" s="130">
        <f t="shared" si="16"/>
        <v>28422</v>
      </c>
      <c r="X60" s="96"/>
      <c r="Y60" s="118"/>
      <c r="Z60" s="19"/>
      <c r="AA60" s="19"/>
    </row>
    <row r="61" spans="1:27" s="20" customFormat="1" ht="12" x14ac:dyDescent="0.15">
      <c r="A61" s="136"/>
      <c r="B61" s="135"/>
      <c r="C61" s="135"/>
      <c r="D61" s="135" t="s">
        <v>93</v>
      </c>
      <c r="E61" s="135"/>
      <c r="F61" s="135"/>
      <c r="G61" s="71">
        <v>101066</v>
      </c>
      <c r="H61" s="71">
        <v>2874</v>
      </c>
      <c r="I61" s="71">
        <v>0</v>
      </c>
      <c r="J61" s="71">
        <v>41</v>
      </c>
      <c r="K61" s="71">
        <v>363</v>
      </c>
      <c r="L61" s="71">
        <v>890</v>
      </c>
      <c r="M61" s="71">
        <v>578</v>
      </c>
      <c r="N61" s="71">
        <v>0</v>
      </c>
      <c r="O61" s="71">
        <v>0</v>
      </c>
      <c r="P61" s="71">
        <v>747</v>
      </c>
      <c r="Q61" s="71">
        <v>914</v>
      </c>
      <c r="R61" s="71">
        <v>0</v>
      </c>
      <c r="S61" s="71">
        <v>0</v>
      </c>
      <c r="T61" s="71">
        <v>0</v>
      </c>
      <c r="U61" s="71">
        <v>0</v>
      </c>
      <c r="V61" s="71">
        <v>12290</v>
      </c>
      <c r="W61" s="127">
        <f t="shared" si="16"/>
        <v>119763</v>
      </c>
      <c r="X61" s="71"/>
      <c r="Y61" s="128"/>
      <c r="Z61" s="19"/>
      <c r="AA61" s="19"/>
    </row>
    <row r="62" spans="1:27" s="20" customFormat="1" ht="8.25" customHeight="1" x14ac:dyDescent="0.15">
      <c r="A62" s="188" t="s">
        <v>78</v>
      </c>
      <c r="B62" s="189"/>
      <c r="C62" s="189"/>
      <c r="D62" s="189"/>
      <c r="E62" s="189"/>
      <c r="F62" s="189"/>
      <c r="G62" s="71">
        <f>0*G30/100</f>
        <v>0</v>
      </c>
      <c r="H62" s="71">
        <f t="shared" ref="H62:V62" si="28">0*H30/100</f>
        <v>0</v>
      </c>
      <c r="I62" s="71">
        <f t="shared" si="28"/>
        <v>0</v>
      </c>
      <c r="J62" s="71">
        <f t="shared" si="28"/>
        <v>0</v>
      </c>
      <c r="K62" s="71">
        <f t="shared" si="28"/>
        <v>0</v>
      </c>
      <c r="L62" s="71">
        <f t="shared" si="28"/>
        <v>0</v>
      </c>
      <c r="M62" s="71">
        <f t="shared" si="28"/>
        <v>0</v>
      </c>
      <c r="N62" s="71">
        <f t="shared" si="28"/>
        <v>0</v>
      </c>
      <c r="O62" s="71">
        <f t="shared" si="28"/>
        <v>0</v>
      </c>
      <c r="P62" s="71">
        <f t="shared" si="28"/>
        <v>0</v>
      </c>
      <c r="Q62" s="71">
        <f t="shared" si="28"/>
        <v>0</v>
      </c>
      <c r="R62" s="71">
        <f t="shared" si="28"/>
        <v>0</v>
      </c>
      <c r="S62" s="71">
        <f t="shared" si="28"/>
        <v>0</v>
      </c>
      <c r="T62" s="71">
        <f t="shared" si="28"/>
        <v>0</v>
      </c>
      <c r="U62" s="71">
        <f t="shared" si="28"/>
        <v>0</v>
      </c>
      <c r="V62" s="71">
        <f t="shared" si="28"/>
        <v>0</v>
      </c>
      <c r="W62" s="127">
        <f t="shared" si="16"/>
        <v>0</v>
      </c>
      <c r="X62" s="71">
        <v>0</v>
      </c>
      <c r="Y62" s="128">
        <f>SUM(W62:X62)</f>
        <v>0</v>
      </c>
    </row>
    <row r="63" spans="1:27" s="20" customFormat="1" ht="12" x14ac:dyDescent="0.15">
      <c r="A63" s="190" t="s">
        <v>41</v>
      </c>
      <c r="B63" s="191"/>
      <c r="C63" s="191"/>
      <c r="D63" s="191"/>
      <c r="E63" s="191"/>
      <c r="F63" s="191"/>
      <c r="G63" s="71">
        <f>SUM(G64:G66)</f>
        <v>126679</v>
      </c>
      <c r="H63" s="71">
        <f t="shared" ref="H63:W63" si="29">SUM(H64:H66)</f>
        <v>3426</v>
      </c>
      <c r="I63" s="71">
        <f t="shared" si="29"/>
        <v>0</v>
      </c>
      <c r="J63" s="71">
        <f t="shared" si="29"/>
        <v>49</v>
      </c>
      <c r="K63" s="71">
        <f t="shared" si="29"/>
        <v>432</v>
      </c>
      <c r="L63" s="71">
        <f t="shared" si="29"/>
        <v>1061</v>
      </c>
      <c r="M63" s="71">
        <f t="shared" si="29"/>
        <v>689</v>
      </c>
      <c r="N63" s="71">
        <f t="shared" si="29"/>
        <v>220</v>
      </c>
      <c r="O63" s="71">
        <f t="shared" si="29"/>
        <v>0</v>
      </c>
      <c r="P63" s="71">
        <f t="shared" si="29"/>
        <v>890</v>
      </c>
      <c r="Q63" s="71">
        <f t="shared" si="29"/>
        <v>1090</v>
      </c>
      <c r="R63" s="71">
        <f t="shared" si="29"/>
        <v>0</v>
      </c>
      <c r="S63" s="71">
        <f t="shared" si="29"/>
        <v>0</v>
      </c>
      <c r="T63" s="71">
        <f t="shared" si="29"/>
        <v>0</v>
      </c>
      <c r="U63" s="71">
        <f t="shared" si="29"/>
        <v>0</v>
      </c>
      <c r="V63" s="71">
        <f t="shared" si="29"/>
        <v>14651</v>
      </c>
      <c r="W63" s="71">
        <f t="shared" si="29"/>
        <v>149187</v>
      </c>
      <c r="X63" s="71">
        <f>SUM(X64:X65)</f>
        <v>0</v>
      </c>
      <c r="Y63" s="128">
        <f t="shared" si="2"/>
        <v>149187</v>
      </c>
      <c r="Z63" s="19"/>
      <c r="AA63" s="19"/>
    </row>
    <row r="64" spans="1:27" s="12" customFormat="1" ht="12" x14ac:dyDescent="0.15">
      <c r="A64" s="186" t="s">
        <v>42</v>
      </c>
      <c r="B64" s="187"/>
      <c r="C64" s="187"/>
      <c r="D64" s="187"/>
      <c r="E64" s="187"/>
      <c r="F64" s="187"/>
      <c r="G64" s="39">
        <v>6200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87">
        <f t="shared" si="16"/>
        <v>6200</v>
      </c>
      <c r="X64" s="39"/>
      <c r="Y64" s="126">
        <f t="shared" si="2"/>
        <v>6200</v>
      </c>
    </row>
    <row r="65" spans="1:27" s="12" customFormat="1" ht="12" x14ac:dyDescent="0.15">
      <c r="A65" s="192" t="s">
        <v>107</v>
      </c>
      <c r="B65" s="193"/>
      <c r="C65" s="193"/>
      <c r="D65" s="193"/>
      <c r="E65" s="193"/>
      <c r="F65" s="193"/>
      <c r="G65" s="39">
        <v>0</v>
      </c>
      <c r="H65" s="39"/>
      <c r="I65" s="39"/>
      <c r="J65" s="39"/>
      <c r="K65" s="39"/>
      <c r="L65" s="39"/>
      <c r="M65" s="39"/>
      <c r="N65" s="39">
        <v>220</v>
      </c>
      <c r="O65" s="39"/>
      <c r="P65" s="39"/>
      <c r="Q65" s="39"/>
      <c r="R65" s="39"/>
      <c r="S65" s="39"/>
      <c r="T65" s="39"/>
      <c r="U65" s="39"/>
      <c r="V65" s="39"/>
      <c r="W65" s="87">
        <f t="shared" si="16"/>
        <v>220</v>
      </c>
      <c r="X65" s="97"/>
      <c r="Y65" s="126">
        <f t="shared" si="2"/>
        <v>220</v>
      </c>
    </row>
    <row r="66" spans="1:27" s="12" customFormat="1" ht="12" x14ac:dyDescent="0.15">
      <c r="A66" s="134"/>
      <c r="B66" s="135"/>
      <c r="C66" s="135"/>
      <c r="D66" s="135" t="s">
        <v>93</v>
      </c>
      <c r="E66" s="135" t="s">
        <v>152</v>
      </c>
      <c r="F66" s="135"/>
      <c r="G66" s="39">
        <v>120479</v>
      </c>
      <c r="H66" s="39">
        <v>3426</v>
      </c>
      <c r="I66" s="39">
        <v>0</v>
      </c>
      <c r="J66" s="39">
        <v>49</v>
      </c>
      <c r="K66" s="39">
        <v>432</v>
      </c>
      <c r="L66" s="39">
        <v>1061</v>
      </c>
      <c r="M66" s="39">
        <v>689</v>
      </c>
      <c r="N66" s="39">
        <v>0</v>
      </c>
      <c r="O66" s="39">
        <v>0</v>
      </c>
      <c r="P66" s="39">
        <v>890</v>
      </c>
      <c r="Q66" s="39">
        <v>1090</v>
      </c>
      <c r="R66" s="39">
        <v>0</v>
      </c>
      <c r="S66" s="39">
        <v>0</v>
      </c>
      <c r="T66" s="39">
        <v>0</v>
      </c>
      <c r="U66" s="39">
        <v>0</v>
      </c>
      <c r="V66" s="39">
        <v>14651</v>
      </c>
      <c r="W66" s="87">
        <f t="shared" si="16"/>
        <v>142767</v>
      </c>
      <c r="X66" s="97">
        <v>142767</v>
      </c>
      <c r="Y66" s="126">
        <v>113203</v>
      </c>
    </row>
    <row r="67" spans="1:27" s="12" customFormat="1" ht="12" x14ac:dyDescent="0.15">
      <c r="A67" s="134"/>
      <c r="B67" s="135"/>
      <c r="C67" s="135"/>
      <c r="D67" s="135" t="s">
        <v>93</v>
      </c>
      <c r="E67" s="135" t="s">
        <v>150</v>
      </c>
      <c r="F67" s="135"/>
      <c r="G67" s="160">
        <v>34633</v>
      </c>
      <c r="H67" s="160">
        <v>985</v>
      </c>
      <c r="I67" s="160">
        <v>0</v>
      </c>
      <c r="J67" s="160">
        <v>14</v>
      </c>
      <c r="K67" s="160">
        <v>124</v>
      </c>
      <c r="L67" s="160">
        <v>305</v>
      </c>
      <c r="M67" s="160">
        <v>198</v>
      </c>
      <c r="N67" s="160">
        <v>0</v>
      </c>
      <c r="O67" s="160">
        <v>0</v>
      </c>
      <c r="P67" s="160">
        <v>256</v>
      </c>
      <c r="Q67" s="160">
        <v>313</v>
      </c>
      <c r="R67" s="160">
        <v>0</v>
      </c>
      <c r="S67" s="160">
        <v>0</v>
      </c>
      <c r="T67" s="160">
        <v>0</v>
      </c>
      <c r="U67" s="160">
        <v>0</v>
      </c>
      <c r="V67" s="160">
        <v>4212</v>
      </c>
      <c r="W67" s="161">
        <f>SUM(G67:V67)</f>
        <v>41040</v>
      </c>
      <c r="X67" s="97"/>
      <c r="Y67" s="126"/>
    </row>
    <row r="68" spans="1:27" s="12" customFormat="1" ht="12" x14ac:dyDescent="0.15">
      <c r="A68" s="134"/>
      <c r="B68" s="135"/>
      <c r="C68" s="135"/>
      <c r="D68" s="135" t="s">
        <v>93</v>
      </c>
      <c r="E68" s="135" t="s">
        <v>151</v>
      </c>
      <c r="F68" s="135"/>
      <c r="G68" s="160">
        <v>85846</v>
      </c>
      <c r="H68" s="160">
        <v>2441</v>
      </c>
      <c r="I68" s="160">
        <v>0</v>
      </c>
      <c r="J68" s="160">
        <v>35</v>
      </c>
      <c r="K68" s="160">
        <v>308</v>
      </c>
      <c r="L68" s="160">
        <v>756</v>
      </c>
      <c r="M68" s="160">
        <v>491</v>
      </c>
      <c r="N68" s="160">
        <v>0</v>
      </c>
      <c r="O68" s="160">
        <v>0</v>
      </c>
      <c r="P68" s="160">
        <v>634</v>
      </c>
      <c r="Q68" s="162">
        <v>777</v>
      </c>
      <c r="R68" s="160">
        <v>0</v>
      </c>
      <c r="S68" s="160">
        <v>0</v>
      </c>
      <c r="T68" s="160">
        <v>0</v>
      </c>
      <c r="U68" s="160">
        <v>0</v>
      </c>
      <c r="V68" s="160">
        <v>10439</v>
      </c>
      <c r="W68" s="161">
        <f>SUM(G68:V68)</f>
        <v>101727</v>
      </c>
      <c r="X68" s="97"/>
      <c r="Y68" s="126"/>
    </row>
    <row r="69" spans="1:27" s="20" customFormat="1" ht="12" x14ac:dyDescent="0.15">
      <c r="A69" s="188" t="s">
        <v>77</v>
      </c>
      <c r="B69" s="189"/>
      <c r="C69" s="189"/>
      <c r="D69" s="189"/>
      <c r="E69" s="189"/>
      <c r="F69" s="189"/>
      <c r="G69" s="71">
        <v>1688</v>
      </c>
      <c r="H69" s="71">
        <v>48</v>
      </c>
      <c r="I69" s="71">
        <v>0</v>
      </c>
      <c r="J69" s="71">
        <v>1</v>
      </c>
      <c r="K69" s="71">
        <v>6</v>
      </c>
      <c r="L69" s="71">
        <v>15</v>
      </c>
      <c r="M69" s="71">
        <v>10</v>
      </c>
      <c r="N69" s="71">
        <v>0</v>
      </c>
      <c r="O69" s="71">
        <v>0</v>
      </c>
      <c r="P69" s="71">
        <v>12</v>
      </c>
      <c r="Q69" s="71">
        <v>15</v>
      </c>
      <c r="R69" s="71">
        <v>0</v>
      </c>
      <c r="S69" s="71">
        <v>0</v>
      </c>
      <c r="T69" s="71">
        <v>0</v>
      </c>
      <c r="U69" s="71">
        <v>0</v>
      </c>
      <c r="V69" s="71">
        <v>205</v>
      </c>
      <c r="W69" s="127">
        <f t="shared" si="16"/>
        <v>2000</v>
      </c>
      <c r="X69" s="71">
        <v>2000</v>
      </c>
      <c r="Y69" s="128">
        <f t="shared" si="2"/>
        <v>4000</v>
      </c>
      <c r="Z69" s="19"/>
      <c r="AA69" s="19"/>
    </row>
    <row r="70" spans="1:27" s="20" customFormat="1" ht="12" x14ac:dyDescent="0.15">
      <c r="A70" s="190" t="s">
        <v>43</v>
      </c>
      <c r="B70" s="191"/>
      <c r="C70" s="191"/>
      <c r="D70" s="191"/>
      <c r="E70" s="191"/>
      <c r="F70" s="191"/>
      <c r="G70" s="71">
        <f>SUM(G71:G73)</f>
        <v>476761</v>
      </c>
      <c r="H70" s="71">
        <f t="shared" ref="H70:V70" si="30">SUM(H71:H73)</f>
        <v>13558</v>
      </c>
      <c r="I70" s="71">
        <f t="shared" si="30"/>
        <v>0</v>
      </c>
      <c r="J70" s="71">
        <f t="shared" si="30"/>
        <v>193</v>
      </c>
      <c r="K70" s="71">
        <f t="shared" si="30"/>
        <v>1709</v>
      </c>
      <c r="L70" s="71">
        <f t="shared" si="30"/>
        <v>4200</v>
      </c>
      <c r="M70" s="71">
        <f t="shared" si="30"/>
        <v>2728</v>
      </c>
      <c r="N70" s="71">
        <f t="shared" si="30"/>
        <v>0</v>
      </c>
      <c r="O70" s="71">
        <f t="shared" si="30"/>
        <v>0</v>
      </c>
      <c r="P70" s="71">
        <f t="shared" si="30"/>
        <v>3523</v>
      </c>
      <c r="Q70" s="71">
        <f t="shared" si="30"/>
        <v>4311</v>
      </c>
      <c r="R70" s="71">
        <f t="shared" si="30"/>
        <v>0</v>
      </c>
      <c r="S70" s="71">
        <f t="shared" si="30"/>
        <v>0</v>
      </c>
      <c r="T70" s="71">
        <f t="shared" si="30"/>
        <v>0</v>
      </c>
      <c r="U70" s="71">
        <f t="shared" si="30"/>
        <v>0</v>
      </c>
      <c r="V70" s="71">
        <f t="shared" si="30"/>
        <v>76337</v>
      </c>
      <c r="W70" s="127">
        <f t="shared" si="16"/>
        <v>583320</v>
      </c>
      <c r="X70" s="71">
        <f>SUM(X71:X73)</f>
        <v>583320</v>
      </c>
      <c r="Y70" s="128">
        <f t="shared" si="2"/>
        <v>1166640</v>
      </c>
      <c r="Z70" s="19"/>
      <c r="AA70" s="19"/>
    </row>
    <row r="71" spans="1:27" s="12" customFormat="1" ht="12" x14ac:dyDescent="0.15">
      <c r="A71" s="186" t="s">
        <v>44</v>
      </c>
      <c r="B71" s="187"/>
      <c r="C71" s="187"/>
      <c r="D71" s="187"/>
      <c r="E71" s="187"/>
      <c r="F71" s="187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>
        <v>18360</v>
      </c>
      <c r="W71" s="87">
        <f t="shared" si="16"/>
        <v>18360</v>
      </c>
      <c r="X71" s="39">
        <v>18360</v>
      </c>
      <c r="Y71" s="126">
        <f t="shared" si="2"/>
        <v>36720</v>
      </c>
    </row>
    <row r="72" spans="1:27" s="12" customFormat="1" ht="12" x14ac:dyDescent="0.15">
      <c r="A72" s="188" t="s">
        <v>55</v>
      </c>
      <c r="B72" s="189"/>
      <c r="C72" s="189"/>
      <c r="D72" s="189"/>
      <c r="E72" s="189"/>
      <c r="F72" s="189"/>
      <c r="G72" s="39">
        <v>356457</v>
      </c>
      <c r="H72" s="39">
        <v>10137</v>
      </c>
      <c r="I72" s="39">
        <v>0</v>
      </c>
      <c r="J72" s="39">
        <v>144</v>
      </c>
      <c r="K72" s="39">
        <v>1278</v>
      </c>
      <c r="L72" s="39">
        <v>3140</v>
      </c>
      <c r="M72" s="39">
        <v>2040</v>
      </c>
      <c r="N72" s="39">
        <v>0</v>
      </c>
      <c r="O72" s="39">
        <v>0</v>
      </c>
      <c r="P72" s="39">
        <v>2634</v>
      </c>
      <c r="Q72" s="39">
        <v>3223</v>
      </c>
      <c r="R72" s="39">
        <v>0</v>
      </c>
      <c r="S72" s="39">
        <v>0</v>
      </c>
      <c r="T72" s="39">
        <v>0</v>
      </c>
      <c r="U72" s="39">
        <v>0</v>
      </c>
      <c r="V72" s="39">
        <v>43347</v>
      </c>
      <c r="W72" s="87">
        <f t="shared" si="16"/>
        <v>422400</v>
      </c>
      <c r="X72" s="39">
        <v>422400</v>
      </c>
      <c r="Y72" s="126">
        <f t="shared" si="2"/>
        <v>844800</v>
      </c>
    </row>
    <row r="73" spans="1:27" s="12" customFormat="1" ht="12" x14ac:dyDescent="0.15">
      <c r="A73" s="188" t="s">
        <v>56</v>
      </c>
      <c r="B73" s="189"/>
      <c r="C73" s="189"/>
      <c r="D73" s="189"/>
      <c r="E73" s="189"/>
      <c r="F73" s="189"/>
      <c r="G73" s="39">
        <v>120304</v>
      </c>
      <c r="H73" s="39">
        <v>3421</v>
      </c>
      <c r="I73" s="39">
        <v>0</v>
      </c>
      <c r="J73" s="39">
        <v>49</v>
      </c>
      <c r="K73" s="39">
        <v>431</v>
      </c>
      <c r="L73" s="39">
        <v>1060</v>
      </c>
      <c r="M73" s="39">
        <v>688</v>
      </c>
      <c r="N73" s="39">
        <v>0</v>
      </c>
      <c r="O73" s="39">
        <v>0</v>
      </c>
      <c r="P73" s="39">
        <v>889</v>
      </c>
      <c r="Q73" s="39">
        <v>1088</v>
      </c>
      <c r="R73" s="39">
        <v>0</v>
      </c>
      <c r="S73" s="39">
        <v>0</v>
      </c>
      <c r="T73" s="39">
        <v>0</v>
      </c>
      <c r="U73" s="39">
        <v>0</v>
      </c>
      <c r="V73" s="39">
        <v>14630</v>
      </c>
      <c r="W73" s="87">
        <f t="shared" si="16"/>
        <v>142560</v>
      </c>
      <c r="X73" s="39">
        <v>142560</v>
      </c>
      <c r="Y73" s="126">
        <f t="shared" si="2"/>
        <v>285120</v>
      </c>
    </row>
    <row r="74" spans="1:27" s="20" customFormat="1" ht="12" x14ac:dyDescent="0.15">
      <c r="A74" s="190" t="s">
        <v>45</v>
      </c>
      <c r="B74" s="191"/>
      <c r="C74" s="191"/>
      <c r="D74" s="191"/>
      <c r="E74" s="191"/>
      <c r="F74" s="191"/>
      <c r="G74" s="71">
        <v>48000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>
        <v>113000</v>
      </c>
      <c r="W74" s="127">
        <f t="shared" si="16"/>
        <v>161000</v>
      </c>
      <c r="X74" s="71">
        <v>113000</v>
      </c>
      <c r="Y74" s="128">
        <f t="shared" si="2"/>
        <v>274000</v>
      </c>
      <c r="Z74" s="19"/>
      <c r="AA74" s="19"/>
    </row>
    <row r="75" spans="1:27" s="20" customFormat="1" ht="7.5" customHeight="1" x14ac:dyDescent="0.15">
      <c r="A75" s="190" t="s">
        <v>57</v>
      </c>
      <c r="B75" s="191"/>
      <c r="C75" s="191"/>
      <c r="D75" s="191"/>
      <c r="E75" s="191"/>
      <c r="F75" s="191"/>
      <c r="G75" s="71">
        <f>SUM(G76)</f>
        <v>0</v>
      </c>
      <c r="H75" s="71">
        <f t="shared" ref="H75:V75" si="31">SUM(H76)</f>
        <v>0</v>
      </c>
      <c r="I75" s="71">
        <f t="shared" si="31"/>
        <v>0</v>
      </c>
      <c r="J75" s="71">
        <f t="shared" si="31"/>
        <v>0</v>
      </c>
      <c r="K75" s="71">
        <f t="shared" si="31"/>
        <v>0</v>
      </c>
      <c r="L75" s="71">
        <f t="shared" si="31"/>
        <v>0</v>
      </c>
      <c r="M75" s="71">
        <f t="shared" si="31"/>
        <v>0</v>
      </c>
      <c r="N75" s="71">
        <f t="shared" si="31"/>
        <v>0</v>
      </c>
      <c r="O75" s="71">
        <f t="shared" si="31"/>
        <v>0</v>
      </c>
      <c r="P75" s="71">
        <f t="shared" si="31"/>
        <v>0</v>
      </c>
      <c r="Q75" s="71">
        <f t="shared" si="31"/>
        <v>0</v>
      </c>
      <c r="R75" s="71">
        <f t="shared" si="31"/>
        <v>0</v>
      </c>
      <c r="S75" s="71">
        <f t="shared" si="31"/>
        <v>0</v>
      </c>
      <c r="T75" s="71">
        <f t="shared" si="31"/>
        <v>0</v>
      </c>
      <c r="U75" s="71">
        <f t="shared" si="31"/>
        <v>0</v>
      </c>
      <c r="V75" s="71">
        <f t="shared" si="31"/>
        <v>13000</v>
      </c>
      <c r="W75" s="127">
        <f t="shared" si="16"/>
        <v>13000</v>
      </c>
      <c r="X75" s="71">
        <f>X76</f>
        <v>13000</v>
      </c>
      <c r="Y75" s="128">
        <f t="shared" si="2"/>
        <v>26000</v>
      </c>
      <c r="Z75" s="19"/>
      <c r="AA75" s="19"/>
    </row>
    <row r="76" spans="1:27" s="12" customFormat="1" ht="7.5" customHeight="1" x14ac:dyDescent="0.15">
      <c r="A76" s="186" t="s">
        <v>54</v>
      </c>
      <c r="B76" s="187"/>
      <c r="C76" s="187"/>
      <c r="D76" s="187"/>
      <c r="E76" s="187"/>
      <c r="F76" s="187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>
        <v>13000</v>
      </c>
      <c r="W76" s="87">
        <f t="shared" si="16"/>
        <v>13000</v>
      </c>
      <c r="X76" s="39">
        <v>13000</v>
      </c>
      <c r="Y76" s="126">
        <f t="shared" si="2"/>
        <v>26000</v>
      </c>
    </row>
    <row r="77" spans="1:27" s="20" customFormat="1" ht="12" x14ac:dyDescent="0.15">
      <c r="A77" s="190" t="s">
        <v>82</v>
      </c>
      <c r="B77" s="191"/>
      <c r="C77" s="191"/>
      <c r="D77" s="191"/>
      <c r="E77" s="191"/>
      <c r="F77" s="19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>
        <v>21200</v>
      </c>
      <c r="W77" s="127">
        <f t="shared" si="16"/>
        <v>21200</v>
      </c>
      <c r="X77" s="71">
        <v>21200</v>
      </c>
      <c r="Y77" s="128">
        <f t="shared" si="2"/>
        <v>42400</v>
      </c>
      <c r="Z77" s="19"/>
      <c r="AA77" s="19"/>
    </row>
    <row r="78" spans="1:27" s="20" customFormat="1" ht="12" x14ac:dyDescent="0.15">
      <c r="A78" s="190" t="s">
        <v>46</v>
      </c>
      <c r="B78" s="191"/>
      <c r="C78" s="191"/>
      <c r="D78" s="191"/>
      <c r="E78" s="191"/>
      <c r="F78" s="191"/>
      <c r="G78" s="71">
        <v>91290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>
        <v>0</v>
      </c>
      <c r="W78" s="127">
        <f t="shared" si="16"/>
        <v>91290</v>
      </c>
      <c r="X78" s="71">
        <v>0</v>
      </c>
      <c r="Y78" s="128">
        <f t="shared" si="2"/>
        <v>91290</v>
      </c>
      <c r="Z78" s="19"/>
      <c r="AA78" s="19"/>
    </row>
    <row r="79" spans="1:27" s="20" customFormat="1" ht="12" x14ac:dyDescent="0.15">
      <c r="A79" s="190" t="s">
        <v>80</v>
      </c>
      <c r="B79" s="191"/>
      <c r="C79" s="191"/>
      <c r="D79" s="191"/>
      <c r="E79" s="191"/>
      <c r="F79" s="191"/>
      <c r="G79" s="71"/>
      <c r="H79" s="71">
        <v>56000</v>
      </c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27">
        <f t="shared" si="16"/>
        <v>56000</v>
      </c>
      <c r="X79" s="71">
        <v>0</v>
      </c>
      <c r="Y79" s="128">
        <f t="shared" si="2"/>
        <v>56000</v>
      </c>
      <c r="Z79" s="19"/>
      <c r="AA79" s="19"/>
    </row>
    <row r="80" spans="1:27" s="20" customFormat="1" ht="12" x14ac:dyDescent="0.15">
      <c r="A80" s="190" t="s">
        <v>144</v>
      </c>
      <c r="B80" s="191"/>
      <c r="C80" s="191"/>
      <c r="D80" s="191"/>
      <c r="E80" s="191"/>
      <c r="F80" s="191"/>
      <c r="G80" s="71"/>
      <c r="H80" s="71"/>
      <c r="I80" s="71"/>
      <c r="J80" s="71"/>
      <c r="K80" s="71">
        <v>9080000</v>
      </c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127">
        <f t="shared" si="16"/>
        <v>9080000</v>
      </c>
      <c r="X80" s="71"/>
      <c r="Y80" s="128"/>
      <c r="Z80" s="19"/>
      <c r="AA80" s="19"/>
    </row>
    <row r="81" spans="1:27" s="20" customFormat="1" ht="12" x14ac:dyDescent="0.15">
      <c r="A81" s="190" t="s">
        <v>58</v>
      </c>
      <c r="B81" s="191"/>
      <c r="C81" s="191"/>
      <c r="D81" s="191"/>
      <c r="E81" s="191"/>
      <c r="F81" s="19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>
        <v>6912</v>
      </c>
      <c r="W81" s="127">
        <f t="shared" si="16"/>
        <v>6912</v>
      </c>
      <c r="X81" s="131">
        <v>6912</v>
      </c>
      <c r="Y81" s="128">
        <f t="shared" si="2"/>
        <v>13824</v>
      </c>
      <c r="Z81" s="19"/>
      <c r="AA81" s="19"/>
    </row>
    <row r="82" spans="1:27" s="12" customFormat="1" ht="12" x14ac:dyDescent="0.15">
      <c r="A82" s="186" t="s">
        <v>59</v>
      </c>
      <c r="B82" s="187"/>
      <c r="C82" s="187"/>
      <c r="D82" s="187"/>
      <c r="E82" s="187"/>
      <c r="F82" s="187"/>
      <c r="G82" s="72">
        <f>G35+G36+G40+G41+G42+G48+G49+G53+G58+G59+G62+G63+G69+G70+G74+G75+G77+G78+G79+G80+G81</f>
        <v>6727798</v>
      </c>
      <c r="H82" s="72">
        <f t="shared" ref="H82:W82" si="32">H35+H36+H40+H41+H42+H48+H49+H53+H58+H59+H62+H63+H69+H70+H74+H75+H77+H78+H79+H80+H81</f>
        <v>277782</v>
      </c>
      <c r="I82" s="72">
        <f t="shared" si="32"/>
        <v>0</v>
      </c>
      <c r="J82" s="72">
        <f t="shared" si="32"/>
        <v>3551</v>
      </c>
      <c r="K82" s="72">
        <f t="shared" si="32"/>
        <v>9118831</v>
      </c>
      <c r="L82" s="72">
        <f t="shared" si="32"/>
        <v>58289</v>
      </c>
      <c r="M82" s="72">
        <f t="shared" si="32"/>
        <v>36699</v>
      </c>
      <c r="N82" s="72">
        <f t="shared" si="32"/>
        <v>64498</v>
      </c>
      <c r="O82" s="72">
        <f t="shared" si="32"/>
        <v>0</v>
      </c>
      <c r="P82" s="72">
        <f t="shared" si="32"/>
        <v>48341</v>
      </c>
      <c r="Q82" s="72">
        <f t="shared" si="32"/>
        <v>63720</v>
      </c>
      <c r="R82" s="72">
        <f t="shared" si="32"/>
        <v>0</v>
      </c>
      <c r="S82" s="72">
        <f t="shared" si="32"/>
        <v>140</v>
      </c>
      <c r="T82" s="72">
        <f t="shared" si="32"/>
        <v>82</v>
      </c>
      <c r="U82" s="72">
        <f t="shared" si="32"/>
        <v>3998</v>
      </c>
      <c r="V82" s="72">
        <f t="shared" si="32"/>
        <v>1660356</v>
      </c>
      <c r="W82" s="72">
        <f t="shared" si="32"/>
        <v>18064085</v>
      </c>
      <c r="X82" s="23">
        <f>X35+X36+X40+X41+X42+X48+X49+X53+X59+X62+X63+X69+X70+X74+X75+X77+X78+X79+X81+X58</f>
        <v>8111396</v>
      </c>
      <c r="Y82" s="31">
        <f>SUM(W82:X82)</f>
        <v>26175481</v>
      </c>
    </row>
    <row r="83" spans="1:27" s="12" customFormat="1" ht="12" x14ac:dyDescent="0.15">
      <c r="A83" s="180" t="s">
        <v>60</v>
      </c>
      <c r="B83" s="181"/>
      <c r="C83" s="181"/>
      <c r="D83" s="181"/>
      <c r="E83" s="181"/>
      <c r="F83" s="181"/>
      <c r="G83" s="40">
        <f>SUM(G26-G82)</f>
        <v>-1717798</v>
      </c>
      <c r="H83" s="40">
        <f t="shared" ref="H83:X83" si="33">SUM(H26-H82)</f>
        <v>-25282</v>
      </c>
      <c r="I83" s="40">
        <f t="shared" si="33"/>
        <v>0</v>
      </c>
      <c r="J83" s="40">
        <f t="shared" si="33"/>
        <v>-911</v>
      </c>
      <c r="K83" s="40">
        <f t="shared" si="33"/>
        <v>-38831</v>
      </c>
      <c r="L83" s="40">
        <f t="shared" si="33"/>
        <v>-54530</v>
      </c>
      <c r="M83" s="40">
        <f t="shared" si="33"/>
        <v>-36699</v>
      </c>
      <c r="N83" s="40">
        <f t="shared" si="33"/>
        <v>0</v>
      </c>
      <c r="O83" s="40">
        <f t="shared" si="33"/>
        <v>0</v>
      </c>
      <c r="P83" s="40">
        <f t="shared" si="33"/>
        <v>-28431</v>
      </c>
      <c r="Q83" s="40">
        <f t="shared" si="33"/>
        <v>-61190</v>
      </c>
      <c r="R83" s="40">
        <f t="shared" si="33"/>
        <v>0</v>
      </c>
      <c r="S83" s="40">
        <f t="shared" si="33"/>
        <v>-140</v>
      </c>
      <c r="T83" s="40">
        <f t="shared" si="33"/>
        <v>-82</v>
      </c>
      <c r="U83" s="40">
        <f t="shared" si="33"/>
        <v>-3998</v>
      </c>
      <c r="V83" s="40">
        <f t="shared" si="33"/>
        <v>2240081</v>
      </c>
      <c r="W83" s="40">
        <f t="shared" si="33"/>
        <v>272189</v>
      </c>
      <c r="X83" s="40">
        <f t="shared" si="33"/>
        <v>-8111396</v>
      </c>
      <c r="Y83" s="26">
        <f>Y35+Y36+Y40+Y41+Y42+Y48+Y49+Y53+Y58+Y59+Y63+Y69+Y70+Y74+Y75+Y77+Y78+Y79+Y81+Y62</f>
        <v>17095481</v>
      </c>
    </row>
    <row r="84" spans="1:27" s="12" customFormat="1" ht="12" x14ac:dyDescent="0.15">
      <c r="A84" s="184" t="s">
        <v>61</v>
      </c>
      <c r="B84" s="185"/>
      <c r="C84" s="185"/>
      <c r="D84" s="185"/>
      <c r="E84" s="185"/>
      <c r="F84" s="185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9"/>
    </row>
    <row r="85" spans="1:27" s="12" customFormat="1" ht="12" x14ac:dyDescent="0.15">
      <c r="A85" s="180" t="s">
        <v>62</v>
      </c>
      <c r="B85" s="181"/>
      <c r="C85" s="181"/>
      <c r="D85" s="181"/>
      <c r="E85" s="181"/>
      <c r="F85" s="181"/>
      <c r="G85" s="24">
        <v>3696676</v>
      </c>
      <c r="H85" s="24">
        <v>-37301</v>
      </c>
      <c r="I85" s="24">
        <v>0</v>
      </c>
      <c r="J85" s="24">
        <v>-830</v>
      </c>
      <c r="K85" s="24">
        <v>-1080</v>
      </c>
      <c r="L85" s="24">
        <v>-8014</v>
      </c>
      <c r="M85" s="24">
        <v>-986</v>
      </c>
      <c r="N85" s="24">
        <v>40388</v>
      </c>
      <c r="O85" s="24">
        <v>-1994</v>
      </c>
      <c r="P85" s="24">
        <v>226</v>
      </c>
      <c r="Q85" s="24">
        <v>7491</v>
      </c>
      <c r="R85" s="24">
        <v>7491</v>
      </c>
      <c r="S85" s="24">
        <v>-38967</v>
      </c>
      <c r="T85" s="24">
        <v>-38967</v>
      </c>
      <c r="U85" s="24">
        <v>-38967</v>
      </c>
      <c r="V85" s="24">
        <v>-4238152</v>
      </c>
      <c r="W85" s="25">
        <v>-582543</v>
      </c>
      <c r="X85" s="76">
        <f>SUM(W82-W26)+272189</f>
        <v>0</v>
      </c>
      <c r="Y85" s="76">
        <f>SUM(W82-W34)</f>
        <v>0</v>
      </c>
    </row>
    <row r="86" spans="1:27" s="12" customFormat="1" ht="12" x14ac:dyDescent="0.15">
      <c r="A86" s="180" t="s">
        <v>63</v>
      </c>
      <c r="B86" s="181"/>
      <c r="C86" s="181"/>
      <c r="D86" s="181"/>
      <c r="E86" s="181"/>
      <c r="F86" s="181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8"/>
      <c r="X86" s="80" t="s">
        <v>149</v>
      </c>
      <c r="Y86" s="12" t="s">
        <v>160</v>
      </c>
    </row>
    <row r="87" spans="1:27" s="12" customFormat="1" ht="12" x14ac:dyDescent="0.15">
      <c r="A87" s="180" t="s">
        <v>64</v>
      </c>
      <c r="B87" s="181"/>
      <c r="C87" s="181"/>
      <c r="D87" s="181"/>
      <c r="E87" s="181"/>
      <c r="F87" s="181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30"/>
    </row>
    <row r="88" spans="1:27" s="12" customFormat="1" ht="12" x14ac:dyDescent="0.15">
      <c r="A88" s="180" t="s">
        <v>65</v>
      </c>
      <c r="B88" s="181"/>
      <c r="C88" s="181"/>
      <c r="D88" s="181"/>
      <c r="E88" s="181"/>
      <c r="F88" s="181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5"/>
    </row>
    <row r="89" spans="1:27" s="12" customFormat="1" ht="12" x14ac:dyDescent="0.15">
      <c r="A89" s="180" t="s">
        <v>66</v>
      </c>
      <c r="B89" s="181"/>
      <c r="C89" s="181"/>
      <c r="D89" s="181"/>
      <c r="E89" s="181"/>
      <c r="F89" s="181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8"/>
      <c r="X89" s="172"/>
      <c r="Y89" s="12" t="s">
        <v>159</v>
      </c>
    </row>
    <row r="90" spans="1:27" s="12" customFormat="1" ht="12" x14ac:dyDescent="0.15">
      <c r="A90" s="180" t="s">
        <v>67</v>
      </c>
      <c r="B90" s="181"/>
      <c r="C90" s="181"/>
      <c r="D90" s="181"/>
      <c r="E90" s="181"/>
      <c r="F90" s="181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5"/>
    </row>
    <row r="91" spans="1:27" s="12" customFormat="1" ht="12" x14ac:dyDescent="0.15">
      <c r="A91" s="180" t="s">
        <v>68</v>
      </c>
      <c r="B91" s="181"/>
      <c r="C91" s="181"/>
      <c r="D91" s="181"/>
      <c r="E91" s="181"/>
      <c r="F91" s="181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5"/>
    </row>
    <row r="92" spans="1:27" s="12" customFormat="1" ht="12" x14ac:dyDescent="0.15">
      <c r="A92" s="180" t="s">
        <v>69</v>
      </c>
      <c r="B92" s="181"/>
      <c r="C92" s="181"/>
      <c r="D92" s="181"/>
      <c r="E92" s="181"/>
      <c r="F92" s="181"/>
      <c r="G92" s="24">
        <v>3696676</v>
      </c>
      <c r="H92" s="24">
        <v>-37301</v>
      </c>
      <c r="I92" s="24"/>
      <c r="J92" s="24">
        <v>-830</v>
      </c>
      <c r="K92" s="24">
        <v>-1080</v>
      </c>
      <c r="L92" s="24">
        <v>-8014</v>
      </c>
      <c r="M92" s="24">
        <v>-986</v>
      </c>
      <c r="N92" s="24">
        <v>40388</v>
      </c>
      <c r="O92" s="24">
        <v>-1994</v>
      </c>
      <c r="P92" s="24">
        <v>226</v>
      </c>
      <c r="Q92" s="24">
        <v>7491</v>
      </c>
      <c r="R92" s="24">
        <v>7491</v>
      </c>
      <c r="S92" s="24">
        <v>-38967</v>
      </c>
      <c r="T92" s="24">
        <v>-38967</v>
      </c>
      <c r="U92" s="24">
        <v>-38967</v>
      </c>
      <c r="V92" s="24">
        <v>-4238152</v>
      </c>
      <c r="W92" s="25">
        <v>-582543</v>
      </c>
    </row>
    <row r="93" spans="1:27" s="12" customFormat="1" ht="12" x14ac:dyDescent="0.15">
      <c r="A93" s="180" t="s">
        <v>70</v>
      </c>
      <c r="B93" s="181"/>
      <c r="C93" s="181"/>
      <c r="D93" s="181"/>
      <c r="E93" s="181"/>
      <c r="F93" s="181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>
        <v>6300893</v>
      </c>
      <c r="W93" s="25">
        <v>6300893</v>
      </c>
    </row>
    <row r="94" spans="1:27" s="12" customFormat="1" ht="12" x14ac:dyDescent="0.15">
      <c r="A94" s="180" t="s">
        <v>71</v>
      </c>
      <c r="B94" s="181"/>
      <c r="C94" s="181"/>
      <c r="D94" s="181"/>
      <c r="E94" s="181"/>
      <c r="F94" s="181"/>
      <c r="G94" s="24">
        <v>3696676</v>
      </c>
      <c r="H94" s="24">
        <v>-37301</v>
      </c>
      <c r="I94" s="24"/>
      <c r="J94" s="24">
        <v>-830</v>
      </c>
      <c r="K94" s="24">
        <v>-1080</v>
      </c>
      <c r="L94" s="24">
        <v>-8014</v>
      </c>
      <c r="M94" s="24">
        <v>-986</v>
      </c>
      <c r="N94" s="24">
        <v>40388</v>
      </c>
      <c r="O94" s="24">
        <v>-1994</v>
      </c>
      <c r="P94" s="24">
        <v>226</v>
      </c>
      <c r="Q94" s="24">
        <v>7491</v>
      </c>
      <c r="R94" s="24">
        <v>7491</v>
      </c>
      <c r="S94" s="24">
        <v>-38967</v>
      </c>
      <c r="T94" s="24">
        <v>-38967</v>
      </c>
      <c r="U94" s="24">
        <v>-38967</v>
      </c>
      <c r="V94" s="24">
        <v>2062741</v>
      </c>
      <c r="W94" s="25">
        <v>5718350</v>
      </c>
    </row>
    <row r="95" spans="1:27" s="12" customFormat="1" ht="12" x14ac:dyDescent="0.15">
      <c r="A95" s="180" t="s">
        <v>72</v>
      </c>
      <c r="B95" s="181"/>
      <c r="C95" s="181"/>
      <c r="D95" s="181"/>
      <c r="E95" s="181"/>
      <c r="F95" s="181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8"/>
    </row>
    <row r="96" spans="1:27" s="12" customFormat="1" ht="12" x14ac:dyDescent="0.15">
      <c r="A96" s="180" t="s">
        <v>73</v>
      </c>
      <c r="B96" s="181"/>
      <c r="C96" s="181"/>
      <c r="D96" s="181"/>
      <c r="E96" s="181"/>
      <c r="F96" s="181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5"/>
    </row>
    <row r="97" spans="1:23" s="12" customFormat="1" ht="12" x14ac:dyDescent="0.15">
      <c r="A97" s="180" t="s">
        <v>74</v>
      </c>
      <c r="B97" s="181"/>
      <c r="C97" s="181"/>
      <c r="D97" s="181"/>
      <c r="E97" s="181"/>
      <c r="F97" s="181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5"/>
    </row>
    <row r="98" spans="1:23" s="12" customFormat="1" ht="12" x14ac:dyDescent="0.15">
      <c r="A98" s="180" t="s">
        <v>75</v>
      </c>
      <c r="B98" s="181"/>
      <c r="C98" s="181"/>
      <c r="D98" s="181"/>
      <c r="E98" s="181"/>
      <c r="F98" s="181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5"/>
    </row>
    <row r="99" spans="1:23" s="12" customFormat="1" ht="12" x14ac:dyDescent="0.15">
      <c r="A99" s="182" t="s">
        <v>76</v>
      </c>
      <c r="B99" s="183"/>
      <c r="C99" s="183"/>
      <c r="D99" s="183"/>
      <c r="E99" s="183"/>
      <c r="F99" s="183"/>
      <c r="G99" s="24">
        <v>3696676</v>
      </c>
      <c r="H99" s="24">
        <v>-37301</v>
      </c>
      <c r="I99" s="24"/>
      <c r="J99" s="24">
        <v>-830</v>
      </c>
      <c r="K99" s="24">
        <v>-1080</v>
      </c>
      <c r="L99" s="24">
        <v>-8014</v>
      </c>
      <c r="M99" s="24">
        <v>-986</v>
      </c>
      <c r="N99" s="24">
        <v>40388</v>
      </c>
      <c r="O99" s="24">
        <v>-1994</v>
      </c>
      <c r="P99" s="24">
        <v>226</v>
      </c>
      <c r="Q99" s="24">
        <v>7491</v>
      </c>
      <c r="R99" s="24">
        <v>7491</v>
      </c>
      <c r="S99" s="24">
        <v>-38967</v>
      </c>
      <c r="T99" s="24">
        <v>-38967</v>
      </c>
      <c r="U99" s="24">
        <v>-38967</v>
      </c>
      <c r="V99" s="24">
        <v>2062741</v>
      </c>
      <c r="W99" s="25">
        <v>5718350</v>
      </c>
    </row>
    <row r="100" spans="1:23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</sheetData>
  <mergeCells count="83">
    <mergeCell ref="A7:F7"/>
    <mergeCell ref="A3:W3"/>
    <mergeCell ref="A4:F4"/>
    <mergeCell ref="A5:F6"/>
    <mergeCell ref="G5:V5"/>
    <mergeCell ref="W5:W6"/>
    <mergeCell ref="A19:F19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41:F41"/>
    <mergeCell ref="A20:F20"/>
    <mergeCell ref="A23:F23"/>
    <mergeCell ref="A24:F24"/>
    <mergeCell ref="A25:F25"/>
    <mergeCell ref="A26:F26"/>
    <mergeCell ref="A27:F27"/>
    <mergeCell ref="A34:F34"/>
    <mergeCell ref="A35:F35"/>
    <mergeCell ref="A36:F36"/>
    <mergeCell ref="A37:F37"/>
    <mergeCell ref="A40:F40"/>
    <mergeCell ref="A53:F53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70:F70"/>
    <mergeCell ref="A54:F54"/>
    <mergeCell ref="A55:F55"/>
    <mergeCell ref="A56:F56"/>
    <mergeCell ref="A57:F57"/>
    <mergeCell ref="A58:F58"/>
    <mergeCell ref="A59:F59"/>
    <mergeCell ref="A62:F62"/>
    <mergeCell ref="A63:F63"/>
    <mergeCell ref="A64:F64"/>
    <mergeCell ref="A65:F65"/>
    <mergeCell ref="A69:F69"/>
    <mergeCell ref="A82:F82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81:F81"/>
    <mergeCell ref="A94:F94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93:F93"/>
    <mergeCell ref="A95:F95"/>
    <mergeCell ref="A96:F96"/>
    <mergeCell ref="A97:F97"/>
    <mergeCell ref="A98:F98"/>
    <mergeCell ref="A99:F99"/>
  </mergeCells>
  <phoneticPr fontId="1"/>
  <pageMargins left="0.70866141732283472" right="0.70866141732283472" top="0.35433070866141736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topLeftCell="B6" workbookViewId="0">
      <pane xSplit="5" ySplit="1" topLeftCell="G59" activePane="bottomRight" state="frozen"/>
      <selection activeCell="B6" sqref="B6"/>
      <selection pane="topRight" activeCell="G6" sqref="G6"/>
      <selection pane="bottomLeft" activeCell="B7" sqref="B7"/>
      <selection pane="bottomRight" activeCell="B5" sqref="A1:XFD1048576"/>
    </sheetView>
  </sheetViews>
  <sheetFormatPr defaultRowHeight="13.5" x14ac:dyDescent="0.15"/>
  <cols>
    <col min="1" max="1" width="7.125" customWidth="1"/>
    <col min="6" max="6" width="4.125" customWidth="1"/>
    <col min="7" max="7" width="10.875" customWidth="1"/>
    <col min="8" max="8" width="7.875" customWidth="1"/>
    <col min="9" max="9" width="2.5" customWidth="1"/>
    <col min="10" max="10" width="5.75" customWidth="1"/>
    <col min="11" max="11" width="7.875" customWidth="1"/>
    <col min="12" max="17" width="5.875" customWidth="1"/>
    <col min="18" max="18" width="5.5" customWidth="1"/>
    <col min="19" max="19" width="7.125" customWidth="1"/>
    <col min="20" max="20" width="6.75" customWidth="1"/>
    <col min="21" max="21" width="7.125" customWidth="1"/>
    <col min="22" max="22" width="9.5" customWidth="1"/>
    <col min="23" max="23" width="10" customWidth="1"/>
    <col min="24" max="24" width="10.125" customWidth="1"/>
    <col min="25" max="25" width="10.875" customWidth="1"/>
  </cols>
  <sheetData>
    <row r="1" spans="1:25" s="3" customFormat="1" ht="18.75" customHeight="1" x14ac:dyDescent="0.15">
      <c r="A1" s="4" t="s">
        <v>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ht="13.5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1:25" x14ac:dyDescent="0.15">
      <c r="A3" s="204" t="s">
        <v>142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</row>
    <row r="4" spans="1:25" x14ac:dyDescent="0.15">
      <c r="A4" s="205" t="s">
        <v>0</v>
      </c>
      <c r="B4" s="205"/>
      <c r="C4" s="205"/>
      <c r="D4" s="205"/>
      <c r="E4" s="205"/>
      <c r="F4" s="20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5" hidden="1" x14ac:dyDescent="0.15">
      <c r="A5" s="206" t="s">
        <v>1</v>
      </c>
      <c r="B5" s="207"/>
      <c r="C5" s="207"/>
      <c r="D5" s="207"/>
      <c r="E5" s="207"/>
      <c r="F5" s="208"/>
      <c r="G5" s="212" t="s">
        <v>2</v>
      </c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4" t="s">
        <v>14</v>
      </c>
    </row>
    <row r="6" spans="1:25" ht="30" customHeight="1" x14ac:dyDescent="0.15">
      <c r="A6" s="209"/>
      <c r="B6" s="210"/>
      <c r="C6" s="210"/>
      <c r="D6" s="210"/>
      <c r="E6" s="210"/>
      <c r="F6" s="211"/>
      <c r="G6" s="6" t="s">
        <v>3</v>
      </c>
      <c r="H6" s="6" t="s">
        <v>4</v>
      </c>
      <c r="I6" s="6" t="s">
        <v>5</v>
      </c>
      <c r="J6" s="81" t="s">
        <v>6</v>
      </c>
      <c r="K6" s="81" t="s">
        <v>7</v>
      </c>
      <c r="L6" s="81" t="s">
        <v>86</v>
      </c>
      <c r="M6" s="81" t="s">
        <v>87</v>
      </c>
      <c r="N6" s="81" t="s">
        <v>8</v>
      </c>
      <c r="O6" s="81" t="s">
        <v>9</v>
      </c>
      <c r="P6" s="81" t="s">
        <v>10</v>
      </c>
      <c r="Q6" s="81" t="s">
        <v>11</v>
      </c>
      <c r="R6" s="81" t="s">
        <v>98</v>
      </c>
      <c r="S6" s="6" t="s">
        <v>97</v>
      </c>
      <c r="T6" s="6" t="s">
        <v>12</v>
      </c>
      <c r="U6" s="6" t="s">
        <v>96</v>
      </c>
      <c r="V6" s="6" t="s">
        <v>13</v>
      </c>
      <c r="W6" s="215"/>
      <c r="X6" s="7" t="s">
        <v>109</v>
      </c>
      <c r="Y6" s="8" t="s">
        <v>81</v>
      </c>
    </row>
    <row r="7" spans="1:25" s="12" customFormat="1" ht="5.25" customHeight="1" x14ac:dyDescent="0.15">
      <c r="A7" s="202" t="s">
        <v>15</v>
      </c>
      <c r="B7" s="203"/>
      <c r="C7" s="203"/>
      <c r="D7" s="203"/>
      <c r="E7" s="203"/>
      <c r="F7" s="20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Y7" s="9"/>
    </row>
    <row r="8" spans="1:25" s="12" customFormat="1" ht="5.25" customHeight="1" x14ac:dyDescent="0.15">
      <c r="A8" s="186" t="s">
        <v>16</v>
      </c>
      <c r="B8" s="187"/>
      <c r="C8" s="187"/>
      <c r="D8" s="187"/>
      <c r="E8" s="187"/>
      <c r="F8" s="187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Y8" s="9"/>
    </row>
    <row r="9" spans="1:25" s="12" customFormat="1" ht="5.25" customHeight="1" x14ac:dyDescent="0.15">
      <c r="A9" s="186" t="s">
        <v>17</v>
      </c>
      <c r="B9" s="187"/>
      <c r="C9" s="187"/>
      <c r="D9" s="187"/>
      <c r="E9" s="187"/>
      <c r="F9" s="187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/>
      <c r="Y9" s="9"/>
    </row>
    <row r="10" spans="1:25" s="15" customFormat="1" ht="12" x14ac:dyDescent="0.15">
      <c r="A10" s="188" t="s">
        <v>18</v>
      </c>
      <c r="B10" s="189"/>
      <c r="C10" s="189"/>
      <c r="D10" s="189"/>
      <c r="E10" s="189"/>
      <c r="F10" s="189"/>
      <c r="G10" s="83">
        <f t="shared" ref="G10:X10" si="0">SUM(G11)</f>
        <v>0</v>
      </c>
      <c r="H10" s="83">
        <f t="shared" si="0"/>
        <v>0</v>
      </c>
      <c r="I10" s="83">
        <f t="shared" si="0"/>
        <v>0</v>
      </c>
      <c r="J10" s="83">
        <f t="shared" si="0"/>
        <v>0</v>
      </c>
      <c r="K10" s="83">
        <f t="shared" si="0"/>
        <v>0</v>
      </c>
      <c r="L10" s="83">
        <f t="shared" si="0"/>
        <v>0</v>
      </c>
      <c r="M10" s="83">
        <f t="shared" si="0"/>
        <v>0</v>
      </c>
      <c r="N10" s="83">
        <f t="shared" si="0"/>
        <v>0</v>
      </c>
      <c r="O10" s="83">
        <f t="shared" si="0"/>
        <v>0</v>
      </c>
      <c r="P10" s="83">
        <f t="shared" si="0"/>
        <v>0</v>
      </c>
      <c r="Q10" s="83">
        <f t="shared" si="0"/>
        <v>0</v>
      </c>
      <c r="R10" s="83">
        <f t="shared" si="0"/>
        <v>0</v>
      </c>
      <c r="S10" s="83">
        <f t="shared" si="0"/>
        <v>0</v>
      </c>
      <c r="T10" s="83">
        <f t="shared" si="0"/>
        <v>0</v>
      </c>
      <c r="U10" s="83">
        <f t="shared" si="0"/>
        <v>0</v>
      </c>
      <c r="V10" s="83">
        <f t="shared" si="0"/>
        <v>0</v>
      </c>
      <c r="W10" s="84">
        <f>SUM(G10:V10)</f>
        <v>0</v>
      </c>
      <c r="X10" s="85">
        <f t="shared" si="0"/>
        <v>0</v>
      </c>
      <c r="Y10" s="86">
        <f>SUM(W10:X10)</f>
        <v>0</v>
      </c>
    </row>
    <row r="11" spans="1:25" s="12" customFormat="1" ht="12" x14ac:dyDescent="0.15">
      <c r="A11" s="186" t="s">
        <v>19</v>
      </c>
      <c r="B11" s="187"/>
      <c r="C11" s="187"/>
      <c r="D11" s="187"/>
      <c r="E11" s="187"/>
      <c r="F11" s="187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87">
        <f t="shared" ref="W11:W17" si="1">SUM(G11:V11)</f>
        <v>0</v>
      </c>
      <c r="X11" s="88"/>
      <c r="Y11" s="89">
        <f t="shared" ref="Y11:Y79" si="2">SUM(W11:X11)</f>
        <v>0</v>
      </c>
    </row>
    <row r="12" spans="1:25" s="15" customFormat="1" ht="12" x14ac:dyDescent="0.15">
      <c r="A12" s="188" t="s">
        <v>20</v>
      </c>
      <c r="B12" s="189"/>
      <c r="C12" s="189"/>
      <c r="D12" s="189"/>
      <c r="E12" s="189"/>
      <c r="F12" s="189"/>
      <c r="G12" s="83">
        <f>SUM(G13)</f>
        <v>0</v>
      </c>
      <c r="H12" s="83">
        <f t="shared" ref="H12:X12" si="3">SUM(H13)</f>
        <v>0</v>
      </c>
      <c r="I12" s="83">
        <f t="shared" si="3"/>
        <v>0</v>
      </c>
      <c r="J12" s="83">
        <f t="shared" si="3"/>
        <v>0</v>
      </c>
      <c r="K12" s="83">
        <f t="shared" si="3"/>
        <v>0</v>
      </c>
      <c r="L12" s="83">
        <f t="shared" si="3"/>
        <v>0</v>
      </c>
      <c r="M12" s="83">
        <f t="shared" si="3"/>
        <v>0</v>
      </c>
      <c r="N12" s="83">
        <f t="shared" si="3"/>
        <v>0</v>
      </c>
      <c r="O12" s="83">
        <f t="shared" si="3"/>
        <v>0</v>
      </c>
      <c r="P12" s="83">
        <f t="shared" si="3"/>
        <v>0</v>
      </c>
      <c r="Q12" s="83">
        <f t="shared" si="3"/>
        <v>0</v>
      </c>
      <c r="R12" s="83">
        <f t="shared" si="3"/>
        <v>0</v>
      </c>
      <c r="S12" s="83">
        <f t="shared" si="3"/>
        <v>0</v>
      </c>
      <c r="T12" s="83">
        <f t="shared" si="3"/>
        <v>0</v>
      </c>
      <c r="U12" s="83">
        <f t="shared" si="3"/>
        <v>0</v>
      </c>
      <c r="V12" s="83">
        <f t="shared" si="3"/>
        <v>3031140</v>
      </c>
      <c r="W12" s="84">
        <f t="shared" si="1"/>
        <v>3031140</v>
      </c>
      <c r="X12" s="85">
        <f t="shared" si="3"/>
        <v>0</v>
      </c>
      <c r="Y12" s="86">
        <f>SUM(W12:X12)</f>
        <v>3031140</v>
      </c>
    </row>
    <row r="13" spans="1:25" s="12" customFormat="1" ht="12" x14ac:dyDescent="0.15">
      <c r="A13" s="186" t="s">
        <v>21</v>
      </c>
      <c r="B13" s="187"/>
      <c r="C13" s="187"/>
      <c r="D13" s="187"/>
      <c r="E13" s="187"/>
      <c r="F13" s="187"/>
      <c r="G13" s="90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>
        <v>3031140</v>
      </c>
      <c r="W13" s="87">
        <f t="shared" si="1"/>
        <v>3031140</v>
      </c>
      <c r="X13" s="88"/>
      <c r="Y13" s="89">
        <f t="shared" si="2"/>
        <v>3031140</v>
      </c>
    </row>
    <row r="14" spans="1:25" s="15" customFormat="1" ht="12" x14ac:dyDescent="0.15">
      <c r="A14" s="188" t="s">
        <v>22</v>
      </c>
      <c r="B14" s="189"/>
      <c r="C14" s="189"/>
      <c r="D14" s="189"/>
      <c r="E14" s="189"/>
      <c r="F14" s="189"/>
      <c r="G14" s="83">
        <f>SUM(G15:G17)</f>
        <v>4980000</v>
      </c>
      <c r="H14" s="83">
        <f t="shared" ref="H14:X14" si="4">SUM(H15:H17)</f>
        <v>0</v>
      </c>
      <c r="I14" s="83">
        <f t="shared" si="4"/>
        <v>0</v>
      </c>
      <c r="J14" s="83">
        <f t="shared" si="4"/>
        <v>0</v>
      </c>
      <c r="K14" s="91">
        <f t="shared" si="4"/>
        <v>9080000</v>
      </c>
      <c r="L14" s="83">
        <f t="shared" si="4"/>
        <v>0</v>
      </c>
      <c r="M14" s="83">
        <f t="shared" si="4"/>
        <v>0</v>
      </c>
      <c r="N14" s="83">
        <f t="shared" si="4"/>
        <v>0</v>
      </c>
      <c r="O14" s="83">
        <f t="shared" si="4"/>
        <v>0</v>
      </c>
      <c r="P14" s="83">
        <f t="shared" si="4"/>
        <v>0</v>
      </c>
      <c r="Q14" s="83">
        <f t="shared" si="4"/>
        <v>0</v>
      </c>
      <c r="R14" s="83">
        <f t="shared" si="4"/>
        <v>0</v>
      </c>
      <c r="S14" s="83">
        <f t="shared" si="4"/>
        <v>0</v>
      </c>
      <c r="T14" s="83">
        <f t="shared" si="4"/>
        <v>0</v>
      </c>
      <c r="U14" s="83">
        <f t="shared" si="4"/>
        <v>0</v>
      </c>
      <c r="V14" s="83">
        <f t="shared" si="4"/>
        <v>869000</v>
      </c>
      <c r="W14" s="84">
        <f t="shared" si="1"/>
        <v>14929000</v>
      </c>
      <c r="X14" s="85">
        <f t="shared" si="4"/>
        <v>0</v>
      </c>
      <c r="Y14" s="86">
        <f t="shared" si="2"/>
        <v>14929000</v>
      </c>
    </row>
    <row r="15" spans="1:25" s="12" customFormat="1" ht="12" x14ac:dyDescent="0.15">
      <c r="A15" s="186" t="s">
        <v>23</v>
      </c>
      <c r="B15" s="187"/>
      <c r="C15" s="187"/>
      <c r="D15" s="187"/>
      <c r="E15" s="187"/>
      <c r="F15" s="187"/>
      <c r="G15" s="39">
        <v>4980000</v>
      </c>
      <c r="H15" s="39"/>
      <c r="I15" s="39"/>
      <c r="J15" s="39"/>
      <c r="K15" s="92">
        <v>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>
        <v>0</v>
      </c>
      <c r="W15" s="87">
        <f t="shared" si="1"/>
        <v>4980000</v>
      </c>
      <c r="X15" s="88"/>
      <c r="Y15" s="89">
        <f t="shared" si="2"/>
        <v>4980000</v>
      </c>
    </row>
    <row r="16" spans="1:25" s="32" customFormat="1" ht="12" x14ac:dyDescent="0.15">
      <c r="A16" s="200" t="s">
        <v>24</v>
      </c>
      <c r="B16" s="201"/>
      <c r="C16" s="201"/>
      <c r="D16" s="201"/>
      <c r="E16" s="201"/>
      <c r="F16" s="201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>
        <v>869000</v>
      </c>
      <c r="W16" s="93">
        <f t="shared" si="1"/>
        <v>869000</v>
      </c>
      <c r="X16" s="94">
        <v>0</v>
      </c>
      <c r="Y16" s="95">
        <f t="shared" si="2"/>
        <v>869000</v>
      </c>
    </row>
    <row r="17" spans="1:25" s="32" customFormat="1" ht="12" x14ac:dyDescent="0.15">
      <c r="A17" s="200" t="s">
        <v>144</v>
      </c>
      <c r="B17" s="201"/>
      <c r="C17" s="201"/>
      <c r="D17" s="201"/>
      <c r="E17" s="201"/>
      <c r="F17" s="201"/>
      <c r="G17" s="70"/>
      <c r="H17" s="70"/>
      <c r="I17" s="70"/>
      <c r="J17" s="70"/>
      <c r="K17" s="70">
        <v>9080000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93">
        <f t="shared" si="1"/>
        <v>9080000</v>
      </c>
      <c r="X17" s="94">
        <v>0</v>
      </c>
      <c r="Y17" s="95">
        <f t="shared" si="2"/>
        <v>9080000</v>
      </c>
    </row>
    <row r="18" spans="1:25" s="15" customFormat="1" ht="12" x14ac:dyDescent="0.15">
      <c r="A18" s="188" t="s">
        <v>25</v>
      </c>
      <c r="B18" s="189"/>
      <c r="C18" s="189"/>
      <c r="D18" s="189"/>
      <c r="E18" s="189"/>
      <c r="F18" s="189"/>
      <c r="G18" s="83">
        <f t="shared" ref="G18:Y18" si="5">SUM(G19:G20)</f>
        <v>0</v>
      </c>
      <c r="H18" s="83">
        <f t="shared" si="5"/>
        <v>252500</v>
      </c>
      <c r="I18" s="83">
        <f t="shared" si="5"/>
        <v>0</v>
      </c>
      <c r="J18" s="83">
        <f t="shared" si="5"/>
        <v>2640</v>
      </c>
      <c r="K18" s="83">
        <f t="shared" si="5"/>
        <v>0</v>
      </c>
      <c r="L18" s="83">
        <f t="shared" si="5"/>
        <v>3759</v>
      </c>
      <c r="M18" s="83">
        <f t="shared" si="5"/>
        <v>0</v>
      </c>
      <c r="N18" s="83">
        <f t="shared" si="5"/>
        <v>64498</v>
      </c>
      <c r="O18" s="83">
        <f t="shared" si="5"/>
        <v>0</v>
      </c>
      <c r="P18" s="83">
        <f t="shared" si="5"/>
        <v>19910</v>
      </c>
      <c r="Q18" s="83">
        <f t="shared" si="5"/>
        <v>2530</v>
      </c>
      <c r="R18" s="83">
        <f t="shared" si="5"/>
        <v>0</v>
      </c>
      <c r="S18" s="83">
        <f t="shared" si="5"/>
        <v>0</v>
      </c>
      <c r="T18" s="83">
        <f t="shared" si="5"/>
        <v>0</v>
      </c>
      <c r="U18" s="83">
        <f t="shared" si="5"/>
        <v>0</v>
      </c>
      <c r="V18" s="83">
        <f t="shared" si="5"/>
        <v>0</v>
      </c>
      <c r="W18" s="83">
        <f t="shared" si="5"/>
        <v>345837</v>
      </c>
      <c r="X18" s="83">
        <f t="shared" si="5"/>
        <v>0</v>
      </c>
      <c r="Y18" s="83">
        <f t="shared" si="5"/>
        <v>345837</v>
      </c>
    </row>
    <row r="19" spans="1:25" s="12" customFormat="1" ht="12" x14ac:dyDescent="0.15">
      <c r="A19" s="186" t="s">
        <v>83</v>
      </c>
      <c r="B19" s="187"/>
      <c r="C19" s="187"/>
      <c r="D19" s="187"/>
      <c r="E19" s="187"/>
      <c r="F19" s="187"/>
      <c r="G19" s="39"/>
      <c r="H19" s="96">
        <v>252500</v>
      </c>
      <c r="I19" s="39">
        <v>0</v>
      </c>
      <c r="J19" s="39">
        <v>2640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87">
        <f>SUM(G19:V19)</f>
        <v>255140</v>
      </c>
      <c r="X19" s="88"/>
      <c r="Y19" s="89">
        <f>SUM(W19:X19)</f>
        <v>255140</v>
      </c>
    </row>
    <row r="20" spans="1:25" s="12" customFormat="1" ht="12" x14ac:dyDescent="0.15">
      <c r="A20" s="186" t="s">
        <v>26</v>
      </c>
      <c r="B20" s="187"/>
      <c r="C20" s="187"/>
      <c r="D20" s="187"/>
      <c r="E20" s="187"/>
      <c r="F20" s="187"/>
      <c r="G20" s="39">
        <f>SUM(G21:G22)</f>
        <v>0</v>
      </c>
      <c r="H20" s="39">
        <f t="shared" ref="H20:V20" si="6">SUM(H21:H22)</f>
        <v>0</v>
      </c>
      <c r="I20" s="39">
        <f t="shared" si="6"/>
        <v>0</v>
      </c>
      <c r="J20" s="39">
        <f t="shared" si="6"/>
        <v>0</v>
      </c>
      <c r="K20" s="39">
        <f t="shared" si="6"/>
        <v>0</v>
      </c>
      <c r="L20" s="39">
        <v>3759</v>
      </c>
      <c r="M20" s="39"/>
      <c r="N20" s="96">
        <v>64498</v>
      </c>
      <c r="O20" s="96">
        <f t="shared" si="6"/>
        <v>0</v>
      </c>
      <c r="P20" s="96">
        <v>19910</v>
      </c>
      <c r="Q20" s="96">
        <v>2530</v>
      </c>
      <c r="R20" s="39">
        <f t="shared" si="6"/>
        <v>0</v>
      </c>
      <c r="S20" s="39">
        <f t="shared" si="6"/>
        <v>0</v>
      </c>
      <c r="T20" s="39">
        <f t="shared" si="6"/>
        <v>0</v>
      </c>
      <c r="U20" s="39">
        <f t="shared" si="6"/>
        <v>0</v>
      </c>
      <c r="V20" s="39">
        <f t="shared" si="6"/>
        <v>0</v>
      </c>
      <c r="W20" s="87">
        <f>SUM(G20:V20)</f>
        <v>90697</v>
      </c>
      <c r="X20" s="39"/>
      <c r="Y20" s="89">
        <f>SUM(W20:X20)</f>
        <v>90697</v>
      </c>
    </row>
    <row r="21" spans="1:25" s="12" customFormat="1" ht="12" x14ac:dyDescent="0.15">
      <c r="A21" s="59"/>
      <c r="B21" s="60"/>
      <c r="C21" s="60" t="s">
        <v>84</v>
      </c>
      <c r="D21" s="60"/>
      <c r="E21" s="60"/>
      <c r="F21" s="60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97"/>
      <c r="T21" s="97"/>
      <c r="U21" s="97"/>
      <c r="V21" s="39"/>
      <c r="W21" s="87">
        <f>SUM(G21:V21)</f>
        <v>0</v>
      </c>
      <c r="X21" s="88"/>
      <c r="Y21" s="89">
        <f t="shared" ref="Y21" si="7">SUM(W21:X21)</f>
        <v>0</v>
      </c>
    </row>
    <row r="22" spans="1:25" s="18" customFormat="1" ht="12" x14ac:dyDescent="0.15">
      <c r="A22" s="16"/>
      <c r="B22" s="17"/>
      <c r="C22" s="17" t="s">
        <v>85</v>
      </c>
      <c r="D22" s="17"/>
      <c r="E22" s="17"/>
      <c r="F22" s="17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9">
        <f>SUM(G22:V22)</f>
        <v>0</v>
      </c>
      <c r="X22" s="100"/>
      <c r="Y22" s="101">
        <f t="shared" si="2"/>
        <v>0</v>
      </c>
    </row>
    <row r="23" spans="1:25" s="15" customFormat="1" ht="12" x14ac:dyDescent="0.15">
      <c r="A23" s="188" t="s">
        <v>27</v>
      </c>
      <c r="B23" s="189"/>
      <c r="C23" s="189"/>
      <c r="D23" s="189"/>
      <c r="E23" s="189"/>
      <c r="F23" s="189"/>
      <c r="G23" s="83">
        <f>SUM(G24:G25)</f>
        <v>30000</v>
      </c>
      <c r="H23" s="83">
        <f t="shared" ref="H23:X23" si="8">SUM(H24:H25)</f>
        <v>0</v>
      </c>
      <c r="I23" s="83">
        <f t="shared" si="8"/>
        <v>0</v>
      </c>
      <c r="J23" s="83">
        <f t="shared" si="8"/>
        <v>0</v>
      </c>
      <c r="K23" s="83">
        <f t="shared" si="8"/>
        <v>0</v>
      </c>
      <c r="L23" s="83">
        <f t="shared" si="8"/>
        <v>0</v>
      </c>
      <c r="M23" s="83">
        <f t="shared" si="8"/>
        <v>0</v>
      </c>
      <c r="N23" s="83">
        <f t="shared" si="8"/>
        <v>0</v>
      </c>
      <c r="O23" s="83">
        <f t="shared" si="8"/>
        <v>0</v>
      </c>
      <c r="P23" s="83">
        <f t="shared" si="8"/>
        <v>0</v>
      </c>
      <c r="Q23" s="83">
        <f t="shared" si="8"/>
        <v>0</v>
      </c>
      <c r="R23" s="83">
        <f t="shared" si="8"/>
        <v>0</v>
      </c>
      <c r="S23" s="83">
        <f t="shared" si="8"/>
        <v>0</v>
      </c>
      <c r="T23" s="83">
        <f t="shared" si="8"/>
        <v>0</v>
      </c>
      <c r="U23" s="83">
        <f t="shared" si="8"/>
        <v>0</v>
      </c>
      <c r="V23" s="83">
        <f>SUM(V24:V25)</f>
        <v>297</v>
      </c>
      <c r="W23" s="84">
        <f t="shared" ref="W23:W25" si="9">SUM(G23:V23)</f>
        <v>30297</v>
      </c>
      <c r="X23" s="83">
        <f t="shared" si="8"/>
        <v>0</v>
      </c>
      <c r="Y23" s="86">
        <f t="shared" si="2"/>
        <v>30297</v>
      </c>
    </row>
    <row r="24" spans="1:25" s="12" customFormat="1" ht="12" x14ac:dyDescent="0.15">
      <c r="A24" s="186" t="s">
        <v>88</v>
      </c>
      <c r="B24" s="187"/>
      <c r="C24" s="187"/>
      <c r="D24" s="187"/>
      <c r="E24" s="187"/>
      <c r="F24" s="187"/>
      <c r="G24" s="39">
        <v>30000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87">
        <f t="shared" si="9"/>
        <v>30000</v>
      </c>
      <c r="X24" s="88"/>
      <c r="Y24" s="89">
        <f t="shared" si="2"/>
        <v>30000</v>
      </c>
    </row>
    <row r="25" spans="1:25" s="12" customFormat="1" ht="12" x14ac:dyDescent="0.15">
      <c r="A25" s="186" t="s">
        <v>28</v>
      </c>
      <c r="B25" s="187"/>
      <c r="C25" s="187"/>
      <c r="D25" s="187"/>
      <c r="E25" s="187"/>
      <c r="F25" s="187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>
        <v>297</v>
      </c>
      <c r="W25" s="87">
        <f t="shared" si="9"/>
        <v>297</v>
      </c>
      <c r="X25" s="88"/>
      <c r="Y25" s="102">
        <f t="shared" si="2"/>
        <v>297</v>
      </c>
    </row>
    <row r="26" spans="1:25" s="12" customFormat="1" ht="12" x14ac:dyDescent="0.15">
      <c r="A26" s="186" t="s">
        <v>29</v>
      </c>
      <c r="B26" s="187"/>
      <c r="C26" s="187"/>
      <c r="D26" s="187"/>
      <c r="E26" s="187"/>
      <c r="F26" s="187"/>
      <c r="G26" s="72">
        <f t="shared" ref="G26:Y26" si="10">SUM(G10+G12+G14+G18+G23)</f>
        <v>5010000</v>
      </c>
      <c r="H26" s="72">
        <f t="shared" si="10"/>
        <v>252500</v>
      </c>
      <c r="I26" s="72">
        <f t="shared" si="10"/>
        <v>0</v>
      </c>
      <c r="J26" s="72">
        <f t="shared" si="10"/>
        <v>2640</v>
      </c>
      <c r="K26" s="103">
        <f t="shared" si="10"/>
        <v>9080000</v>
      </c>
      <c r="L26" s="72">
        <f t="shared" si="10"/>
        <v>3759</v>
      </c>
      <c r="M26" s="72">
        <f t="shared" si="10"/>
        <v>0</v>
      </c>
      <c r="N26" s="72">
        <f t="shared" si="10"/>
        <v>64498</v>
      </c>
      <c r="O26" s="72">
        <f t="shared" si="10"/>
        <v>0</v>
      </c>
      <c r="P26" s="72">
        <f t="shared" si="10"/>
        <v>19910</v>
      </c>
      <c r="Q26" s="72">
        <f t="shared" si="10"/>
        <v>2530</v>
      </c>
      <c r="R26" s="72">
        <f t="shared" si="10"/>
        <v>0</v>
      </c>
      <c r="S26" s="72">
        <f t="shared" si="10"/>
        <v>0</v>
      </c>
      <c r="T26" s="72">
        <f t="shared" si="10"/>
        <v>0</v>
      </c>
      <c r="U26" s="72">
        <f t="shared" si="10"/>
        <v>0</v>
      </c>
      <c r="V26" s="72">
        <f t="shared" si="10"/>
        <v>3900437</v>
      </c>
      <c r="W26" s="72">
        <f t="shared" si="10"/>
        <v>18336274</v>
      </c>
      <c r="X26" s="72">
        <f t="shared" si="10"/>
        <v>0</v>
      </c>
      <c r="Y26" s="72">
        <f t="shared" si="10"/>
        <v>18336274</v>
      </c>
    </row>
    <row r="27" spans="1:25" s="12" customFormat="1" ht="6" customHeight="1" x14ac:dyDescent="0.15">
      <c r="A27" s="186" t="s">
        <v>30</v>
      </c>
      <c r="B27" s="187"/>
      <c r="C27" s="187"/>
      <c r="D27" s="187"/>
      <c r="E27" s="187"/>
      <c r="F27" s="187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5"/>
      <c r="X27" s="104"/>
      <c r="Y27" s="106">
        <f t="shared" si="2"/>
        <v>0</v>
      </c>
    </row>
    <row r="28" spans="1:25" s="33" customFormat="1" ht="12" x14ac:dyDescent="0.15">
      <c r="A28" s="64"/>
      <c r="B28" s="65"/>
      <c r="C28" s="65" t="s">
        <v>103</v>
      </c>
      <c r="D28" s="65"/>
      <c r="E28" s="65"/>
      <c r="F28" s="65"/>
      <c r="G28" s="107">
        <v>77.400000000000006</v>
      </c>
      <c r="H28" s="107">
        <v>3.45</v>
      </c>
      <c r="I28" s="107">
        <v>0</v>
      </c>
      <c r="J28" s="107">
        <v>0.05</v>
      </c>
      <c r="K28" s="107">
        <v>0.5</v>
      </c>
      <c r="L28" s="107">
        <v>1</v>
      </c>
      <c r="M28" s="107">
        <v>0.7</v>
      </c>
      <c r="N28" s="107"/>
      <c r="O28" s="107"/>
      <c r="P28" s="107">
        <v>0.9</v>
      </c>
      <c r="Q28" s="107">
        <v>1</v>
      </c>
      <c r="R28" s="107"/>
      <c r="S28" s="107"/>
      <c r="T28" s="107"/>
      <c r="U28" s="107"/>
      <c r="V28" s="107">
        <v>15</v>
      </c>
      <c r="W28" s="108"/>
      <c r="X28" s="107"/>
      <c r="Y28" s="109"/>
    </row>
    <row r="29" spans="1:25" s="22" customFormat="1" ht="12" x14ac:dyDescent="0.15">
      <c r="A29" s="66"/>
      <c r="B29" s="67"/>
      <c r="C29" s="67" t="s">
        <v>104</v>
      </c>
      <c r="D29" s="67"/>
      <c r="E29" s="67"/>
      <c r="F29" s="67"/>
      <c r="G29" s="110">
        <v>95.1</v>
      </c>
      <c r="H29" s="110">
        <v>0.79</v>
      </c>
      <c r="I29" s="110"/>
      <c r="J29" s="110">
        <v>0.01</v>
      </c>
      <c r="K29" s="110"/>
      <c r="L29" s="110">
        <v>0.35</v>
      </c>
      <c r="M29" s="110">
        <v>0.15</v>
      </c>
      <c r="N29" s="110"/>
      <c r="O29" s="110"/>
      <c r="P29" s="110">
        <v>0.2</v>
      </c>
      <c r="Q29" s="110">
        <v>0.4</v>
      </c>
      <c r="R29" s="110"/>
      <c r="S29" s="110"/>
      <c r="T29" s="110"/>
      <c r="U29" s="110"/>
      <c r="V29" s="110">
        <v>3</v>
      </c>
      <c r="W29" s="111"/>
      <c r="X29" s="110"/>
      <c r="Y29" s="112"/>
    </row>
    <row r="30" spans="1:25" s="15" customFormat="1" ht="12" x14ac:dyDescent="0.15">
      <c r="A30" s="61"/>
      <c r="B30" s="62"/>
      <c r="C30" s="62" t="s">
        <v>94</v>
      </c>
      <c r="D30" s="62" t="s">
        <v>146</v>
      </c>
      <c r="E30" s="62"/>
      <c r="F30" s="62"/>
      <c r="G30" s="113">
        <f>G33/5489414*100</f>
        <v>84.388479353169572</v>
      </c>
      <c r="H30" s="113">
        <f t="shared" ref="H30:W30" si="11">H33/5489414*100</f>
        <v>2.3997643464311489</v>
      </c>
      <c r="I30" s="113">
        <f t="shared" si="11"/>
        <v>0</v>
      </c>
      <c r="J30" s="113">
        <f t="shared" si="11"/>
        <v>3.4211301971394395E-2</v>
      </c>
      <c r="K30" s="113">
        <f t="shared" si="11"/>
        <v>0.30258238857553832</v>
      </c>
      <c r="L30" s="113">
        <f t="shared" si="11"/>
        <v>0.74335803420911595</v>
      </c>
      <c r="M30" s="113">
        <f t="shared" si="11"/>
        <v>0.48283842319052639</v>
      </c>
      <c r="N30" s="113">
        <f t="shared" si="11"/>
        <v>0</v>
      </c>
      <c r="O30" s="113">
        <f t="shared" si="11"/>
        <v>0</v>
      </c>
      <c r="P30" s="113">
        <f t="shared" si="11"/>
        <v>0.62360026042852656</v>
      </c>
      <c r="Q30" s="113">
        <f t="shared" si="11"/>
        <v>0.76310513289760984</v>
      </c>
      <c r="R30" s="113">
        <f t="shared" si="11"/>
        <v>0</v>
      </c>
      <c r="S30" s="113">
        <f t="shared" si="11"/>
        <v>0</v>
      </c>
      <c r="T30" s="113">
        <f t="shared" si="11"/>
        <v>0</v>
      </c>
      <c r="U30" s="113">
        <f t="shared" si="11"/>
        <v>0</v>
      </c>
      <c r="V30" s="113">
        <f t="shared" si="11"/>
        <v>10.262060759126566</v>
      </c>
      <c r="W30" s="113">
        <f t="shared" si="11"/>
        <v>100</v>
      </c>
      <c r="X30" s="114" t="s">
        <v>108</v>
      </c>
      <c r="Y30" s="115"/>
    </row>
    <row r="31" spans="1:25" s="37" customFormat="1" ht="12" x14ac:dyDescent="0.15">
      <c r="A31" s="73"/>
      <c r="B31" s="74"/>
      <c r="C31" s="74"/>
      <c r="D31" s="74"/>
      <c r="E31" s="74"/>
      <c r="F31" s="74"/>
      <c r="G31" s="116">
        <f>G26/9191776*100</f>
        <v>54.505244688295271</v>
      </c>
      <c r="H31" s="116">
        <f t="shared" ref="H31:V31" si="12">H26/9191776*100</f>
        <v>2.7470208151286544</v>
      </c>
      <c r="I31" s="116">
        <f t="shared" si="12"/>
        <v>0</v>
      </c>
      <c r="J31" s="116">
        <f t="shared" si="12"/>
        <v>2.8721326542335234E-2</v>
      </c>
      <c r="K31" s="116">
        <f t="shared" si="12"/>
        <v>98.783956441062088</v>
      </c>
      <c r="L31" s="116">
        <f t="shared" si="12"/>
        <v>4.0895252451756875E-2</v>
      </c>
      <c r="M31" s="116">
        <f t="shared" si="12"/>
        <v>0</v>
      </c>
      <c r="N31" s="116">
        <f t="shared" si="12"/>
        <v>0.70169246944224928</v>
      </c>
      <c r="O31" s="116">
        <f t="shared" si="12"/>
        <v>0</v>
      </c>
      <c r="P31" s="116">
        <f t="shared" si="12"/>
        <v>0.21660667100677822</v>
      </c>
      <c r="Q31" s="116">
        <f t="shared" si="12"/>
        <v>2.7524604603071264E-2</v>
      </c>
      <c r="R31" s="116">
        <f t="shared" si="12"/>
        <v>0</v>
      </c>
      <c r="S31" s="116">
        <f t="shared" si="12"/>
        <v>0</v>
      </c>
      <c r="T31" s="116">
        <f t="shared" si="12"/>
        <v>0</v>
      </c>
      <c r="U31" s="116">
        <f t="shared" si="12"/>
        <v>0</v>
      </c>
      <c r="V31" s="116">
        <f t="shared" si="12"/>
        <v>42.433986641972126</v>
      </c>
      <c r="W31" s="116">
        <f>SUM(G31:V31)</f>
        <v>199.4856489105043</v>
      </c>
      <c r="X31" s="117">
        <v>8118200</v>
      </c>
      <c r="Y31" s="118"/>
    </row>
    <row r="32" spans="1:25" s="75" customFormat="1" ht="12" x14ac:dyDescent="0.15">
      <c r="A32" s="68"/>
      <c r="B32" s="69"/>
      <c r="C32" s="69" t="s">
        <v>95</v>
      </c>
      <c r="D32" s="69"/>
      <c r="E32" s="69"/>
      <c r="F32" s="69"/>
      <c r="G32" s="119">
        <v>54.505244688295271</v>
      </c>
      <c r="H32" s="119">
        <v>2.7470208151286544</v>
      </c>
      <c r="I32" s="119">
        <v>0</v>
      </c>
      <c r="J32" s="119">
        <v>2.8721326542335234E-2</v>
      </c>
      <c r="K32" s="119">
        <v>0</v>
      </c>
      <c r="L32" s="119">
        <v>4.0895252451756875E-2</v>
      </c>
      <c r="M32" s="119">
        <v>0</v>
      </c>
      <c r="N32" s="119">
        <v>0</v>
      </c>
      <c r="O32" s="119">
        <v>0</v>
      </c>
      <c r="P32" s="119">
        <v>0.21660667100677822</v>
      </c>
      <c r="Q32" s="119">
        <v>2.7524604603071264E-2</v>
      </c>
      <c r="R32" s="119">
        <v>0</v>
      </c>
      <c r="S32" s="119">
        <v>0</v>
      </c>
      <c r="T32" s="119">
        <v>0</v>
      </c>
      <c r="U32" s="119">
        <v>0</v>
      </c>
      <c r="V32" s="119">
        <v>42.433986641972126</v>
      </c>
      <c r="W32" s="120">
        <f>SUM(G32:V32)</f>
        <v>100</v>
      </c>
      <c r="X32" s="121">
        <f>SUM(X31-W34)</f>
        <v>-9945885</v>
      </c>
      <c r="Y32" s="122"/>
    </row>
    <row r="33" spans="1:26" s="36" customFormat="1" ht="12" x14ac:dyDescent="0.15">
      <c r="A33" s="34"/>
      <c r="B33" s="35"/>
      <c r="C33" s="35" t="s">
        <v>105</v>
      </c>
      <c r="D33" s="35"/>
      <c r="E33" s="35"/>
      <c r="F33" s="35"/>
      <c r="G33" s="123">
        <f>SUM(G35:G36)</f>
        <v>4632433</v>
      </c>
      <c r="H33" s="123">
        <f t="shared" ref="H33:W33" si="13">SUM(H35:H36)</f>
        <v>131733</v>
      </c>
      <c r="I33" s="123">
        <f t="shared" si="13"/>
        <v>0</v>
      </c>
      <c r="J33" s="123">
        <f t="shared" si="13"/>
        <v>1878</v>
      </c>
      <c r="K33" s="123">
        <f t="shared" si="13"/>
        <v>16610</v>
      </c>
      <c r="L33" s="123">
        <f t="shared" si="13"/>
        <v>40806</v>
      </c>
      <c r="M33" s="123">
        <f t="shared" si="13"/>
        <v>26505</v>
      </c>
      <c r="N33" s="123">
        <f t="shared" si="13"/>
        <v>0</v>
      </c>
      <c r="O33" s="123">
        <f t="shared" si="13"/>
        <v>0</v>
      </c>
      <c r="P33" s="123">
        <f t="shared" si="13"/>
        <v>34232</v>
      </c>
      <c r="Q33" s="123">
        <f t="shared" si="13"/>
        <v>41890</v>
      </c>
      <c r="R33" s="123">
        <f t="shared" si="13"/>
        <v>0</v>
      </c>
      <c r="S33" s="123">
        <f t="shared" si="13"/>
        <v>0</v>
      </c>
      <c r="T33" s="123">
        <f t="shared" si="13"/>
        <v>0</v>
      </c>
      <c r="U33" s="123">
        <f t="shared" si="13"/>
        <v>0</v>
      </c>
      <c r="V33" s="123">
        <f t="shared" si="13"/>
        <v>563327</v>
      </c>
      <c r="W33" s="123">
        <f t="shared" si="13"/>
        <v>5489414</v>
      </c>
      <c r="X33" s="124"/>
      <c r="Y33" s="125"/>
    </row>
    <row r="34" spans="1:26" s="12" customFormat="1" ht="12" x14ac:dyDescent="0.15">
      <c r="A34" s="186" t="s">
        <v>31</v>
      </c>
      <c r="B34" s="187"/>
      <c r="C34" s="187"/>
      <c r="D34" s="187"/>
      <c r="E34" s="187"/>
      <c r="F34" s="187"/>
      <c r="G34" s="39">
        <f>G35+G36+G40+G41+G42+G48+G49+G53+G59+G62+G63+G67+G68+G72+G73+G76+G77+G79+G75+G58</f>
        <v>6727798</v>
      </c>
      <c r="H34" s="39">
        <f t="shared" ref="H34:X34" si="14">H35+H36+H40+H41+H42+H48+H49+H53+H59+H62+H63+H67+H68+H72+H73+H76+H77+H79+H75+H58</f>
        <v>277782</v>
      </c>
      <c r="I34" s="39">
        <f t="shared" si="14"/>
        <v>0</v>
      </c>
      <c r="J34" s="39">
        <f t="shared" si="14"/>
        <v>3551</v>
      </c>
      <c r="K34" s="39">
        <f>K35+K36+K40+K41+K42+K48+K49+K53+K59+K62+K63+K67+K68+K72+K73+K76+K77+K79+K75+K58+K78</f>
        <v>9118831</v>
      </c>
      <c r="L34" s="39">
        <f t="shared" si="14"/>
        <v>58289</v>
      </c>
      <c r="M34" s="39">
        <f t="shared" si="14"/>
        <v>36699</v>
      </c>
      <c r="N34" s="39">
        <f t="shared" si="14"/>
        <v>64498</v>
      </c>
      <c r="O34" s="39">
        <f t="shared" si="14"/>
        <v>0</v>
      </c>
      <c r="P34" s="39">
        <f t="shared" si="14"/>
        <v>48341</v>
      </c>
      <c r="Q34" s="39">
        <f t="shared" si="14"/>
        <v>63720</v>
      </c>
      <c r="R34" s="39">
        <f t="shared" si="14"/>
        <v>0</v>
      </c>
      <c r="S34" s="39">
        <f t="shared" si="14"/>
        <v>140</v>
      </c>
      <c r="T34" s="39">
        <f t="shared" si="14"/>
        <v>82</v>
      </c>
      <c r="U34" s="39">
        <f t="shared" si="14"/>
        <v>3998</v>
      </c>
      <c r="V34" s="39">
        <f>V35+V36+V40+V41+V42+V48+V49+V53+V59+V62+V63+V67+V68+V72+V73+V76+V77+V79+V75+V58</f>
        <v>1660356</v>
      </c>
      <c r="W34" s="39">
        <f>W35+W36+W40+W41+W42+W48+W49+W53+W59+W62+W63+W67+W68+W72+W73+W76+W77+W79+W75+W58+W78</f>
        <v>18064085</v>
      </c>
      <c r="X34" s="39">
        <f t="shared" si="14"/>
        <v>8111396</v>
      </c>
      <c r="Y34" s="126">
        <f t="shared" si="2"/>
        <v>26175481</v>
      </c>
    </row>
    <row r="35" spans="1:26" s="20" customFormat="1" ht="12" x14ac:dyDescent="0.15">
      <c r="A35" s="194" t="s">
        <v>47</v>
      </c>
      <c r="B35" s="195"/>
      <c r="C35" s="195"/>
      <c r="D35" s="195"/>
      <c r="E35" s="195"/>
      <c r="F35" s="195"/>
      <c r="G35" s="71">
        <v>2571251</v>
      </c>
      <c r="H35" s="71">
        <v>114611</v>
      </c>
      <c r="I35" s="71">
        <f t="shared" ref="I35:U35" si="15">3322030*I28/100</f>
        <v>0</v>
      </c>
      <c r="J35" s="71">
        <v>1661</v>
      </c>
      <c r="K35" s="71">
        <v>16610</v>
      </c>
      <c r="L35" s="71">
        <v>33220</v>
      </c>
      <c r="M35" s="71">
        <v>23254</v>
      </c>
      <c r="N35" s="71">
        <f t="shared" si="15"/>
        <v>0</v>
      </c>
      <c r="O35" s="71">
        <f t="shared" si="15"/>
        <v>0</v>
      </c>
      <c r="P35" s="71">
        <v>29898</v>
      </c>
      <c r="Q35" s="71">
        <v>33220</v>
      </c>
      <c r="R35" s="71">
        <f t="shared" si="15"/>
        <v>0</v>
      </c>
      <c r="S35" s="71">
        <f t="shared" si="15"/>
        <v>0</v>
      </c>
      <c r="T35" s="71">
        <f t="shared" si="15"/>
        <v>0</v>
      </c>
      <c r="U35" s="71">
        <f t="shared" si="15"/>
        <v>0</v>
      </c>
      <c r="V35" s="71">
        <v>498305</v>
      </c>
      <c r="W35" s="127">
        <f t="shared" ref="W35:W79" si="16">SUM(G35:V35)</f>
        <v>3322030</v>
      </c>
      <c r="X35" s="71">
        <v>3322030</v>
      </c>
      <c r="Y35" s="128">
        <f>SUM(W35:X35)</f>
        <v>6644060</v>
      </c>
    </row>
    <row r="36" spans="1:26" s="20" customFormat="1" ht="12" x14ac:dyDescent="0.15">
      <c r="A36" s="190" t="s">
        <v>48</v>
      </c>
      <c r="B36" s="191"/>
      <c r="C36" s="191"/>
      <c r="D36" s="191"/>
      <c r="E36" s="191"/>
      <c r="F36" s="191"/>
      <c r="G36" s="71">
        <f>SUM(G37:G39)</f>
        <v>2061182</v>
      </c>
      <c r="H36" s="71">
        <f t="shared" ref="H36:X36" si="17">SUM(H37:H39)</f>
        <v>17122</v>
      </c>
      <c r="I36" s="71">
        <f t="shared" si="17"/>
        <v>0</v>
      </c>
      <c r="J36" s="71">
        <f t="shared" si="17"/>
        <v>217</v>
      </c>
      <c r="K36" s="71">
        <f t="shared" si="17"/>
        <v>0</v>
      </c>
      <c r="L36" s="71">
        <f t="shared" si="17"/>
        <v>7586</v>
      </c>
      <c r="M36" s="71">
        <f t="shared" si="17"/>
        <v>3251</v>
      </c>
      <c r="N36" s="71">
        <f t="shared" si="17"/>
        <v>0</v>
      </c>
      <c r="O36" s="71">
        <f t="shared" si="17"/>
        <v>0</v>
      </c>
      <c r="P36" s="71">
        <f t="shared" si="17"/>
        <v>4334</v>
      </c>
      <c r="Q36" s="71">
        <f t="shared" si="17"/>
        <v>8670</v>
      </c>
      <c r="R36" s="71">
        <f t="shared" si="17"/>
        <v>0</v>
      </c>
      <c r="S36" s="71">
        <f t="shared" si="17"/>
        <v>0</v>
      </c>
      <c r="T36" s="71">
        <f t="shared" si="17"/>
        <v>0</v>
      </c>
      <c r="U36" s="71">
        <f t="shared" si="17"/>
        <v>0</v>
      </c>
      <c r="V36" s="71">
        <f t="shared" si="17"/>
        <v>65022</v>
      </c>
      <c r="W36" s="127">
        <f t="shared" si="16"/>
        <v>2167384</v>
      </c>
      <c r="X36" s="71">
        <f t="shared" si="17"/>
        <v>2167384</v>
      </c>
      <c r="Y36" s="128">
        <f t="shared" si="2"/>
        <v>4334768</v>
      </c>
    </row>
    <row r="37" spans="1:26" s="12" customFormat="1" ht="12" x14ac:dyDescent="0.15">
      <c r="A37" s="196" t="s">
        <v>101</v>
      </c>
      <c r="B37" s="197"/>
      <c r="C37" s="197"/>
      <c r="D37" s="197"/>
      <c r="E37" s="197"/>
      <c r="F37" s="197"/>
      <c r="G37" s="39">
        <v>2049595</v>
      </c>
      <c r="H37" s="39">
        <v>17026</v>
      </c>
      <c r="I37" s="39">
        <v>0</v>
      </c>
      <c r="J37" s="39">
        <v>216</v>
      </c>
      <c r="K37" s="39">
        <v>0</v>
      </c>
      <c r="L37" s="39">
        <v>7543</v>
      </c>
      <c r="M37" s="39">
        <v>3233</v>
      </c>
      <c r="N37" s="39">
        <v>0</v>
      </c>
      <c r="O37" s="39">
        <v>0</v>
      </c>
      <c r="P37" s="39">
        <v>4310</v>
      </c>
      <c r="Q37" s="39">
        <v>8621</v>
      </c>
      <c r="R37" s="39">
        <v>0</v>
      </c>
      <c r="S37" s="39">
        <v>0</v>
      </c>
      <c r="T37" s="39">
        <v>0</v>
      </c>
      <c r="U37" s="39">
        <v>0</v>
      </c>
      <c r="V37" s="39">
        <v>64656</v>
      </c>
      <c r="W37" s="87">
        <f t="shared" si="16"/>
        <v>2155200</v>
      </c>
      <c r="X37" s="39">
        <v>2155200</v>
      </c>
      <c r="Y37" s="126">
        <f t="shared" si="2"/>
        <v>4310400</v>
      </c>
    </row>
    <row r="38" spans="1:26" s="12" customFormat="1" ht="12" x14ac:dyDescent="0.15">
      <c r="A38" s="59" t="s">
        <v>100</v>
      </c>
      <c r="B38" s="60"/>
      <c r="C38" s="60"/>
      <c r="D38" s="60"/>
      <c r="E38" s="60"/>
      <c r="F38" s="60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87">
        <f t="shared" si="16"/>
        <v>0</v>
      </c>
      <c r="X38" s="39">
        <v>0</v>
      </c>
      <c r="Y38" s="126">
        <f t="shared" si="2"/>
        <v>0</v>
      </c>
    </row>
    <row r="39" spans="1:26" s="12" customFormat="1" ht="12" x14ac:dyDescent="0.15">
      <c r="A39" s="59" t="s">
        <v>99</v>
      </c>
      <c r="B39" s="60"/>
      <c r="C39" s="60"/>
      <c r="D39" s="60"/>
      <c r="E39" s="60"/>
      <c r="F39" s="60"/>
      <c r="G39" s="39">
        <v>11587</v>
      </c>
      <c r="H39" s="39">
        <v>96</v>
      </c>
      <c r="I39" s="39">
        <f t="shared" ref="I39:K39" si="18">12184*I29/100</f>
        <v>0</v>
      </c>
      <c r="J39" s="39">
        <v>1</v>
      </c>
      <c r="K39" s="39">
        <f t="shared" si="18"/>
        <v>0</v>
      </c>
      <c r="L39" s="39">
        <v>43</v>
      </c>
      <c r="M39" s="39">
        <v>18</v>
      </c>
      <c r="N39" s="39">
        <v>0</v>
      </c>
      <c r="O39" s="39">
        <v>0</v>
      </c>
      <c r="P39" s="39">
        <v>24</v>
      </c>
      <c r="Q39" s="39">
        <v>49</v>
      </c>
      <c r="R39" s="39">
        <v>0</v>
      </c>
      <c r="S39" s="39">
        <v>0</v>
      </c>
      <c r="T39" s="39">
        <v>0</v>
      </c>
      <c r="U39" s="39">
        <v>0</v>
      </c>
      <c r="V39" s="39">
        <v>366</v>
      </c>
      <c r="W39" s="87">
        <f t="shared" si="16"/>
        <v>12184</v>
      </c>
      <c r="X39" s="39">
        <v>12184</v>
      </c>
      <c r="Y39" s="126">
        <f t="shared" si="2"/>
        <v>24368</v>
      </c>
    </row>
    <row r="40" spans="1:26" s="20" customFormat="1" ht="12" x14ac:dyDescent="0.15">
      <c r="A40" s="198" t="s">
        <v>102</v>
      </c>
      <c r="B40" s="199"/>
      <c r="C40" s="199"/>
      <c r="D40" s="199"/>
      <c r="E40" s="199"/>
      <c r="F40" s="199"/>
      <c r="G40" s="71">
        <f t="shared" ref="G40:V40" si="19">0*G28/100</f>
        <v>0</v>
      </c>
      <c r="H40" s="71">
        <f t="shared" si="19"/>
        <v>0</v>
      </c>
      <c r="I40" s="71">
        <f t="shared" si="19"/>
        <v>0</v>
      </c>
      <c r="J40" s="71">
        <f t="shared" si="19"/>
        <v>0</v>
      </c>
      <c r="K40" s="71">
        <f t="shared" si="19"/>
        <v>0</v>
      </c>
      <c r="L40" s="71">
        <f t="shared" si="19"/>
        <v>0</v>
      </c>
      <c r="M40" s="71">
        <f t="shared" si="19"/>
        <v>0</v>
      </c>
      <c r="N40" s="71">
        <f t="shared" si="19"/>
        <v>0</v>
      </c>
      <c r="O40" s="71">
        <f t="shared" si="19"/>
        <v>0</v>
      </c>
      <c r="P40" s="71">
        <f t="shared" si="19"/>
        <v>0</v>
      </c>
      <c r="Q40" s="71">
        <f t="shared" si="19"/>
        <v>0</v>
      </c>
      <c r="R40" s="71">
        <f t="shared" si="19"/>
        <v>0</v>
      </c>
      <c r="S40" s="71">
        <f t="shared" si="19"/>
        <v>0</v>
      </c>
      <c r="T40" s="71">
        <f t="shared" si="19"/>
        <v>0</v>
      </c>
      <c r="U40" s="71">
        <f t="shared" si="19"/>
        <v>0</v>
      </c>
      <c r="V40" s="71">
        <f t="shared" si="19"/>
        <v>0</v>
      </c>
      <c r="W40" s="127">
        <f t="shared" si="16"/>
        <v>0</v>
      </c>
      <c r="X40" s="71"/>
      <c r="Y40" s="128">
        <f t="shared" si="2"/>
        <v>0</v>
      </c>
    </row>
    <row r="41" spans="1:26" s="20" customFormat="1" ht="12" x14ac:dyDescent="0.15">
      <c r="A41" s="190" t="s">
        <v>145</v>
      </c>
      <c r="B41" s="191"/>
      <c r="C41" s="191"/>
      <c r="D41" s="191"/>
      <c r="E41" s="191"/>
      <c r="F41" s="19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>
        <v>92000</v>
      </c>
      <c r="W41" s="127">
        <f t="shared" si="16"/>
        <v>92000</v>
      </c>
      <c r="X41" s="71">
        <v>92000</v>
      </c>
      <c r="Y41" s="128">
        <f t="shared" si="2"/>
        <v>184000</v>
      </c>
    </row>
    <row r="42" spans="1:26" s="20" customFormat="1" ht="12" x14ac:dyDescent="0.15">
      <c r="A42" s="190" t="s">
        <v>49</v>
      </c>
      <c r="B42" s="191"/>
      <c r="C42" s="191"/>
      <c r="D42" s="191"/>
      <c r="E42" s="191"/>
      <c r="F42" s="191"/>
      <c r="G42" s="71">
        <f>SUM(G43:G47)</f>
        <v>779836</v>
      </c>
      <c r="H42" s="71">
        <f t="shared" ref="H42:X42" si="20">SUM(H43:H47)</f>
        <v>22176</v>
      </c>
      <c r="I42" s="71">
        <f t="shared" si="20"/>
        <v>0</v>
      </c>
      <c r="J42" s="71">
        <f t="shared" si="20"/>
        <v>316</v>
      </c>
      <c r="K42" s="71">
        <f t="shared" si="20"/>
        <v>2796</v>
      </c>
      <c r="L42" s="71">
        <f t="shared" si="20"/>
        <v>6869</v>
      </c>
      <c r="M42" s="71">
        <f t="shared" si="20"/>
        <v>4462</v>
      </c>
      <c r="N42" s="71">
        <f t="shared" si="20"/>
        <v>0</v>
      </c>
      <c r="O42" s="71">
        <f t="shared" si="20"/>
        <v>0</v>
      </c>
      <c r="P42" s="71">
        <f t="shared" si="20"/>
        <v>5763</v>
      </c>
      <c r="Q42" s="71">
        <f t="shared" si="20"/>
        <v>7052</v>
      </c>
      <c r="R42" s="71">
        <f t="shared" si="20"/>
        <v>0</v>
      </c>
      <c r="S42" s="71">
        <f t="shared" si="20"/>
        <v>0</v>
      </c>
      <c r="T42" s="71">
        <f t="shared" si="20"/>
        <v>0</v>
      </c>
      <c r="U42" s="71">
        <f t="shared" si="20"/>
        <v>0</v>
      </c>
      <c r="V42" s="71">
        <f t="shared" si="20"/>
        <v>256032</v>
      </c>
      <c r="W42" s="127">
        <f t="shared" si="16"/>
        <v>1085302</v>
      </c>
      <c r="X42" s="71">
        <f t="shared" si="20"/>
        <v>1085302</v>
      </c>
      <c r="Y42" s="128">
        <f t="shared" si="2"/>
        <v>2170604</v>
      </c>
    </row>
    <row r="43" spans="1:26" s="12" customFormat="1" ht="12" x14ac:dyDescent="0.15">
      <c r="A43" s="188" t="s">
        <v>50</v>
      </c>
      <c r="B43" s="189"/>
      <c r="C43" s="189"/>
      <c r="D43" s="189"/>
      <c r="E43" s="189"/>
      <c r="F43" s="189"/>
      <c r="G43" s="39">
        <v>721074</v>
      </c>
      <c r="H43" s="39">
        <v>20505</v>
      </c>
      <c r="I43" s="39">
        <f t="shared" ref="I43:U43" si="21">854470*I30/100</f>
        <v>0</v>
      </c>
      <c r="J43" s="39">
        <v>292</v>
      </c>
      <c r="K43" s="39">
        <v>2585</v>
      </c>
      <c r="L43" s="39">
        <v>6352</v>
      </c>
      <c r="M43" s="39">
        <v>4126</v>
      </c>
      <c r="N43" s="39">
        <f t="shared" si="21"/>
        <v>0</v>
      </c>
      <c r="O43" s="39">
        <f t="shared" si="21"/>
        <v>0</v>
      </c>
      <c r="P43" s="39">
        <v>5330</v>
      </c>
      <c r="Q43" s="39">
        <v>6520</v>
      </c>
      <c r="R43" s="39">
        <f t="shared" si="21"/>
        <v>0</v>
      </c>
      <c r="S43" s="39">
        <f t="shared" si="21"/>
        <v>0</v>
      </c>
      <c r="T43" s="39">
        <f t="shared" si="21"/>
        <v>0</v>
      </c>
      <c r="U43" s="39">
        <f t="shared" si="21"/>
        <v>0</v>
      </c>
      <c r="V43" s="39">
        <v>87686</v>
      </c>
      <c r="W43" s="87">
        <f t="shared" si="16"/>
        <v>854470</v>
      </c>
      <c r="X43" s="39">
        <v>854470</v>
      </c>
      <c r="Y43" s="126">
        <f t="shared" si="2"/>
        <v>1708940</v>
      </c>
    </row>
    <row r="44" spans="1:26" s="12" customFormat="1" ht="12" x14ac:dyDescent="0.15">
      <c r="A44" s="188" t="s">
        <v>51</v>
      </c>
      <c r="B44" s="189"/>
      <c r="C44" s="189"/>
      <c r="D44" s="189"/>
      <c r="E44" s="189"/>
      <c r="F44" s="189"/>
      <c r="G44" s="39">
        <v>16002</v>
      </c>
      <c r="H44" s="39">
        <v>455</v>
      </c>
      <c r="I44" s="39">
        <f t="shared" ref="I44:U44" si="22">18962*I30/100</f>
        <v>0</v>
      </c>
      <c r="J44" s="39">
        <v>6</v>
      </c>
      <c r="K44" s="39">
        <v>58</v>
      </c>
      <c r="L44" s="39">
        <v>140</v>
      </c>
      <c r="M44" s="39">
        <v>92</v>
      </c>
      <c r="N44" s="39">
        <f t="shared" si="22"/>
        <v>0</v>
      </c>
      <c r="O44" s="39">
        <f t="shared" si="22"/>
        <v>0</v>
      </c>
      <c r="P44" s="39">
        <v>118</v>
      </c>
      <c r="Q44" s="39">
        <v>145</v>
      </c>
      <c r="R44" s="39">
        <f t="shared" si="22"/>
        <v>0</v>
      </c>
      <c r="S44" s="39">
        <f t="shared" si="22"/>
        <v>0</v>
      </c>
      <c r="T44" s="39">
        <f t="shared" si="22"/>
        <v>0</v>
      </c>
      <c r="U44" s="39">
        <f t="shared" si="22"/>
        <v>0</v>
      </c>
      <c r="V44" s="39">
        <v>1946</v>
      </c>
      <c r="W44" s="87">
        <f t="shared" si="16"/>
        <v>18962</v>
      </c>
      <c r="X44" s="39">
        <v>18962</v>
      </c>
      <c r="Y44" s="126">
        <f t="shared" si="2"/>
        <v>37924</v>
      </c>
    </row>
    <row r="45" spans="1:26" s="12" customFormat="1" ht="12" x14ac:dyDescent="0.15">
      <c r="A45" s="188" t="s">
        <v>52</v>
      </c>
      <c r="B45" s="189"/>
      <c r="C45" s="189"/>
      <c r="D45" s="189"/>
      <c r="E45" s="189"/>
      <c r="F45" s="189"/>
      <c r="G45" s="39">
        <v>15629</v>
      </c>
      <c r="H45" s="39">
        <v>444</v>
      </c>
      <c r="I45" s="39">
        <f t="shared" ref="I45:U45" si="23">18520*I30/100</f>
        <v>0</v>
      </c>
      <c r="J45" s="39">
        <v>7</v>
      </c>
      <c r="K45" s="39">
        <v>56</v>
      </c>
      <c r="L45" s="39">
        <v>138</v>
      </c>
      <c r="M45" s="39">
        <v>89</v>
      </c>
      <c r="N45" s="39">
        <f t="shared" si="23"/>
        <v>0</v>
      </c>
      <c r="O45" s="39">
        <f t="shared" si="23"/>
        <v>0</v>
      </c>
      <c r="P45" s="39">
        <v>115</v>
      </c>
      <c r="Q45" s="39">
        <v>141</v>
      </c>
      <c r="R45" s="39">
        <f t="shared" si="23"/>
        <v>0</v>
      </c>
      <c r="S45" s="39">
        <f t="shared" si="23"/>
        <v>0</v>
      </c>
      <c r="T45" s="39">
        <f t="shared" si="23"/>
        <v>0</v>
      </c>
      <c r="U45" s="39">
        <f t="shared" si="23"/>
        <v>0</v>
      </c>
      <c r="V45" s="39">
        <v>1901</v>
      </c>
      <c r="W45" s="87">
        <f t="shared" si="16"/>
        <v>18520</v>
      </c>
      <c r="X45" s="39">
        <v>18520</v>
      </c>
      <c r="Y45" s="126">
        <f t="shared" si="2"/>
        <v>37040</v>
      </c>
    </row>
    <row r="46" spans="1:26" s="12" customFormat="1" ht="12" x14ac:dyDescent="0.15">
      <c r="A46" s="188" t="s">
        <v>53</v>
      </c>
      <c r="B46" s="189"/>
      <c r="C46" s="189"/>
      <c r="D46" s="189"/>
      <c r="E46" s="189"/>
      <c r="F46" s="189"/>
      <c r="G46" s="39">
        <v>27131</v>
      </c>
      <c r="H46" s="39">
        <v>772</v>
      </c>
      <c r="I46" s="39">
        <f t="shared" ref="I46:U46" si="24">32150*I30/100</f>
        <v>0</v>
      </c>
      <c r="J46" s="39">
        <v>11</v>
      </c>
      <c r="K46" s="39">
        <v>97</v>
      </c>
      <c r="L46" s="39">
        <v>239</v>
      </c>
      <c r="M46" s="39">
        <v>155</v>
      </c>
      <c r="N46" s="39">
        <f t="shared" si="24"/>
        <v>0</v>
      </c>
      <c r="O46" s="39">
        <f t="shared" si="24"/>
        <v>0</v>
      </c>
      <c r="P46" s="39">
        <v>200</v>
      </c>
      <c r="Q46" s="39">
        <v>246</v>
      </c>
      <c r="R46" s="39">
        <f t="shared" si="24"/>
        <v>0</v>
      </c>
      <c r="S46" s="39">
        <f t="shared" si="24"/>
        <v>0</v>
      </c>
      <c r="T46" s="39">
        <f t="shared" si="24"/>
        <v>0</v>
      </c>
      <c r="U46" s="39">
        <f t="shared" si="24"/>
        <v>0</v>
      </c>
      <c r="V46" s="39">
        <v>3299</v>
      </c>
      <c r="W46" s="87">
        <f t="shared" si="16"/>
        <v>32150</v>
      </c>
      <c r="X46" s="39">
        <v>32150</v>
      </c>
      <c r="Y46" s="126">
        <f t="shared" si="2"/>
        <v>64300</v>
      </c>
    </row>
    <row r="47" spans="1:26" s="12" customFormat="1" ht="16.5" customHeight="1" x14ac:dyDescent="0.15">
      <c r="A47" s="186" t="s">
        <v>54</v>
      </c>
      <c r="B47" s="187"/>
      <c r="C47" s="187"/>
      <c r="D47" s="187"/>
      <c r="E47" s="187"/>
      <c r="F47" s="187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>
        <v>161200</v>
      </c>
      <c r="W47" s="87">
        <f t="shared" si="16"/>
        <v>161200</v>
      </c>
      <c r="X47" s="39">
        <v>161200</v>
      </c>
      <c r="Y47" s="126">
        <f t="shared" si="2"/>
        <v>322400</v>
      </c>
      <c r="Z47" s="21"/>
    </row>
    <row r="48" spans="1:26" s="20" customFormat="1" ht="16.5" customHeight="1" x14ac:dyDescent="0.15">
      <c r="A48" s="190" t="s">
        <v>32</v>
      </c>
      <c r="B48" s="191"/>
      <c r="C48" s="191"/>
      <c r="D48" s="191"/>
      <c r="E48" s="191"/>
      <c r="F48" s="191"/>
      <c r="G48" s="71">
        <v>24000</v>
      </c>
      <c r="H48" s="71">
        <v>0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>
        <v>151920</v>
      </c>
      <c r="W48" s="127">
        <f t="shared" si="16"/>
        <v>175920</v>
      </c>
      <c r="X48" s="71">
        <v>151920</v>
      </c>
      <c r="Y48" s="128">
        <f t="shared" si="2"/>
        <v>327840</v>
      </c>
      <c r="Z48" s="19"/>
    </row>
    <row r="49" spans="1:27" s="20" customFormat="1" ht="12" x14ac:dyDescent="0.15">
      <c r="A49" s="190" t="s">
        <v>33</v>
      </c>
      <c r="B49" s="191"/>
      <c r="C49" s="191"/>
      <c r="D49" s="191"/>
      <c r="E49" s="191"/>
      <c r="F49" s="191"/>
      <c r="G49" s="71">
        <f>SUM(G50:G52)</f>
        <v>277131</v>
      </c>
      <c r="H49" s="71">
        <f t="shared" ref="H49:X49" si="25">SUM(H50:H52)</f>
        <v>18790</v>
      </c>
      <c r="I49" s="71">
        <f t="shared" si="25"/>
        <v>0</v>
      </c>
      <c r="J49" s="71">
        <f t="shared" si="25"/>
        <v>89</v>
      </c>
      <c r="K49" s="71">
        <f t="shared" si="25"/>
        <v>9398</v>
      </c>
      <c r="L49" s="71">
        <f t="shared" si="25"/>
        <v>1936</v>
      </c>
      <c r="M49" s="71">
        <f t="shared" si="25"/>
        <v>1258</v>
      </c>
      <c r="N49" s="71">
        <f t="shared" si="25"/>
        <v>57560</v>
      </c>
      <c r="O49" s="71">
        <f t="shared" si="25"/>
        <v>0</v>
      </c>
      <c r="P49" s="71">
        <f t="shared" si="25"/>
        <v>1624</v>
      </c>
      <c r="Q49" s="71">
        <f t="shared" si="25"/>
        <v>1987</v>
      </c>
      <c r="R49" s="71">
        <f t="shared" si="25"/>
        <v>0</v>
      </c>
      <c r="S49" s="71">
        <f t="shared" si="25"/>
        <v>0</v>
      </c>
      <c r="T49" s="71">
        <f t="shared" si="25"/>
        <v>0</v>
      </c>
      <c r="U49" s="71">
        <f t="shared" si="25"/>
        <v>1250</v>
      </c>
      <c r="V49" s="71">
        <f t="shared" si="25"/>
        <v>243167</v>
      </c>
      <c r="W49" s="127">
        <f t="shared" si="16"/>
        <v>614190</v>
      </c>
      <c r="X49" s="71">
        <f t="shared" si="25"/>
        <v>434420</v>
      </c>
      <c r="Y49" s="128">
        <f t="shared" si="2"/>
        <v>1048610</v>
      </c>
      <c r="Z49" s="19"/>
      <c r="AA49" s="19"/>
    </row>
    <row r="50" spans="1:27" s="12" customFormat="1" ht="12" x14ac:dyDescent="0.15">
      <c r="A50" s="186" t="s">
        <v>34</v>
      </c>
      <c r="B50" s="187"/>
      <c r="C50" s="187"/>
      <c r="D50" s="187"/>
      <c r="E50" s="187"/>
      <c r="F50" s="187"/>
      <c r="G50" s="39">
        <v>57350</v>
      </c>
      <c r="H50" s="39">
        <v>12540</v>
      </c>
      <c r="I50" s="39"/>
      <c r="J50" s="39"/>
      <c r="K50" s="39">
        <v>8610</v>
      </c>
      <c r="L50" s="39"/>
      <c r="M50" s="39"/>
      <c r="N50" s="39">
        <v>57560</v>
      </c>
      <c r="O50" s="39"/>
      <c r="P50" s="39"/>
      <c r="Q50" s="39"/>
      <c r="R50" s="39"/>
      <c r="S50" s="39"/>
      <c r="T50" s="39"/>
      <c r="U50" s="39">
        <v>1250</v>
      </c>
      <c r="V50" s="39">
        <v>42460</v>
      </c>
      <c r="W50" s="87">
        <f t="shared" si="16"/>
        <v>179770</v>
      </c>
      <c r="X50" s="97"/>
      <c r="Y50" s="126">
        <f t="shared" si="2"/>
        <v>179770</v>
      </c>
    </row>
    <row r="51" spans="1:27" s="12" customFormat="1" ht="12" x14ac:dyDescent="0.15">
      <c r="A51" s="188" t="s">
        <v>79</v>
      </c>
      <c r="B51" s="189"/>
      <c r="C51" s="189"/>
      <c r="D51" s="189"/>
      <c r="E51" s="189"/>
      <c r="F51" s="189"/>
      <c r="G51" s="39">
        <v>219781</v>
      </c>
      <c r="H51" s="39">
        <v>6250</v>
      </c>
      <c r="I51" s="39">
        <v>0</v>
      </c>
      <c r="J51" s="39">
        <v>89</v>
      </c>
      <c r="K51" s="39">
        <v>788</v>
      </c>
      <c r="L51" s="39">
        <v>1936</v>
      </c>
      <c r="M51" s="39">
        <v>1258</v>
      </c>
      <c r="N51" s="39">
        <v>0</v>
      </c>
      <c r="O51" s="39">
        <v>0</v>
      </c>
      <c r="P51" s="39">
        <v>1624</v>
      </c>
      <c r="Q51" s="39">
        <v>1987</v>
      </c>
      <c r="R51" s="39">
        <v>0</v>
      </c>
      <c r="S51" s="39">
        <v>0</v>
      </c>
      <c r="T51" s="39">
        <v>0</v>
      </c>
      <c r="U51" s="39">
        <v>0</v>
      </c>
      <c r="V51" s="39">
        <v>26727</v>
      </c>
      <c r="W51" s="87">
        <f t="shared" si="16"/>
        <v>260440</v>
      </c>
      <c r="X51" s="39">
        <v>260440</v>
      </c>
      <c r="Y51" s="126">
        <f t="shared" si="2"/>
        <v>520880</v>
      </c>
    </row>
    <row r="52" spans="1:27" s="12" customFormat="1" ht="12" x14ac:dyDescent="0.15">
      <c r="A52" s="186" t="s">
        <v>35</v>
      </c>
      <c r="B52" s="187"/>
      <c r="C52" s="187"/>
      <c r="D52" s="187"/>
      <c r="E52" s="187"/>
      <c r="F52" s="187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>
        <v>173980</v>
      </c>
      <c r="W52" s="87">
        <f t="shared" si="16"/>
        <v>173980</v>
      </c>
      <c r="X52" s="39">
        <v>173980</v>
      </c>
      <c r="Y52" s="126">
        <f t="shared" si="2"/>
        <v>347960</v>
      </c>
    </row>
    <row r="53" spans="1:27" s="20" customFormat="1" ht="12" x14ac:dyDescent="0.15">
      <c r="A53" s="190" t="s">
        <v>36</v>
      </c>
      <c r="B53" s="191"/>
      <c r="C53" s="191"/>
      <c r="D53" s="191"/>
      <c r="E53" s="191"/>
      <c r="F53" s="191"/>
      <c r="G53" s="71">
        <f>SUM(G54:G57)</f>
        <v>134532</v>
      </c>
      <c r="H53" s="71">
        <f t="shared" ref="H53:X53" si="26">SUM(H54:H57)</f>
        <v>23534</v>
      </c>
      <c r="I53" s="71">
        <f t="shared" si="26"/>
        <v>0</v>
      </c>
      <c r="J53" s="71">
        <f t="shared" si="26"/>
        <v>975</v>
      </c>
      <c r="K53" s="71">
        <f t="shared" si="26"/>
        <v>7434</v>
      </c>
      <c r="L53" s="71">
        <f t="shared" si="26"/>
        <v>2309</v>
      </c>
      <c r="M53" s="71">
        <f t="shared" si="26"/>
        <v>337</v>
      </c>
      <c r="N53" s="71">
        <f t="shared" si="26"/>
        <v>6718</v>
      </c>
      <c r="O53" s="71">
        <f t="shared" si="26"/>
        <v>0</v>
      </c>
      <c r="P53" s="71">
        <f t="shared" si="26"/>
        <v>1379</v>
      </c>
      <c r="Q53" s="71">
        <f t="shared" si="26"/>
        <v>6252</v>
      </c>
      <c r="R53" s="71">
        <f t="shared" si="26"/>
        <v>0</v>
      </c>
      <c r="S53" s="71">
        <f t="shared" si="26"/>
        <v>140</v>
      </c>
      <c r="T53" s="71">
        <f t="shared" si="26"/>
        <v>82</v>
      </c>
      <c r="U53" s="71">
        <f t="shared" si="26"/>
        <v>2748</v>
      </c>
      <c r="V53" s="71">
        <f t="shared" si="26"/>
        <v>81376</v>
      </c>
      <c r="W53" s="127">
        <f t="shared" si="16"/>
        <v>267816</v>
      </c>
      <c r="X53" s="71">
        <f t="shared" si="26"/>
        <v>118908</v>
      </c>
      <c r="Y53" s="128">
        <f t="shared" si="2"/>
        <v>386724</v>
      </c>
      <c r="Z53" s="19"/>
      <c r="AA53" s="19"/>
    </row>
    <row r="54" spans="1:27" s="12" customFormat="1" ht="12" x14ac:dyDescent="0.15">
      <c r="A54" s="186" t="s">
        <v>37</v>
      </c>
      <c r="B54" s="187"/>
      <c r="C54" s="187"/>
      <c r="D54" s="187"/>
      <c r="E54" s="187"/>
      <c r="F54" s="187"/>
      <c r="G54" s="39">
        <v>8856</v>
      </c>
      <c r="H54" s="39">
        <v>1750</v>
      </c>
      <c r="I54" s="39"/>
      <c r="J54" s="39"/>
      <c r="K54" s="39">
        <v>4536</v>
      </c>
      <c r="L54" s="39">
        <v>1728</v>
      </c>
      <c r="M54" s="39">
        <v>173</v>
      </c>
      <c r="N54" s="39">
        <v>0</v>
      </c>
      <c r="O54" s="39"/>
      <c r="P54" s="39">
        <v>677</v>
      </c>
      <c r="Q54" s="39">
        <v>4334</v>
      </c>
      <c r="R54" s="39">
        <v>0</v>
      </c>
      <c r="S54" s="39"/>
      <c r="T54" s="39">
        <v>0</v>
      </c>
      <c r="U54" s="39"/>
      <c r="V54" s="39">
        <v>1728</v>
      </c>
      <c r="W54" s="87">
        <f t="shared" si="16"/>
        <v>23782</v>
      </c>
      <c r="X54" s="39">
        <v>1728</v>
      </c>
      <c r="Y54" s="126">
        <f t="shared" si="2"/>
        <v>25510</v>
      </c>
    </row>
    <row r="55" spans="1:27" s="12" customFormat="1" ht="12" x14ac:dyDescent="0.15">
      <c r="A55" s="192" t="s">
        <v>106</v>
      </c>
      <c r="B55" s="193"/>
      <c r="C55" s="193"/>
      <c r="D55" s="193"/>
      <c r="E55" s="193"/>
      <c r="F55" s="193"/>
      <c r="G55" s="129">
        <v>63869</v>
      </c>
      <c r="H55" s="129">
        <v>3219</v>
      </c>
      <c r="I55" s="129">
        <v>0</v>
      </c>
      <c r="J55" s="129">
        <v>34</v>
      </c>
      <c r="K55" s="129">
        <v>0</v>
      </c>
      <c r="L55" s="129">
        <v>48</v>
      </c>
      <c r="M55" s="129">
        <v>0</v>
      </c>
      <c r="N55" s="129">
        <v>0</v>
      </c>
      <c r="O55" s="129">
        <v>0</v>
      </c>
      <c r="P55" s="129">
        <v>254</v>
      </c>
      <c r="Q55" s="129">
        <v>32</v>
      </c>
      <c r="R55" s="129">
        <v>0</v>
      </c>
      <c r="S55" s="129">
        <v>0</v>
      </c>
      <c r="T55" s="129">
        <v>0</v>
      </c>
      <c r="U55" s="129">
        <v>0</v>
      </c>
      <c r="V55" s="129">
        <v>49724</v>
      </c>
      <c r="W55" s="129">
        <f>SUM(G55:V55)</f>
        <v>117180</v>
      </c>
      <c r="X55" s="39">
        <v>117180</v>
      </c>
      <c r="Y55" s="126">
        <f t="shared" si="2"/>
        <v>234360</v>
      </c>
    </row>
    <row r="56" spans="1:27" s="12" customFormat="1" ht="12" x14ac:dyDescent="0.15">
      <c r="A56" s="186" t="s">
        <v>38</v>
      </c>
      <c r="B56" s="187"/>
      <c r="C56" s="187"/>
      <c r="D56" s="187"/>
      <c r="E56" s="187"/>
      <c r="F56" s="187"/>
      <c r="G56" s="39">
        <v>7680</v>
      </c>
      <c r="H56" s="39">
        <v>1620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87">
        <f t="shared" si="16"/>
        <v>9300</v>
      </c>
      <c r="X56" s="39"/>
      <c r="Y56" s="126">
        <f t="shared" si="2"/>
        <v>9300</v>
      </c>
    </row>
    <row r="57" spans="1:27" s="12" customFormat="1" ht="12" x14ac:dyDescent="0.15">
      <c r="A57" s="186" t="s">
        <v>39</v>
      </c>
      <c r="B57" s="187"/>
      <c r="C57" s="187"/>
      <c r="D57" s="187"/>
      <c r="E57" s="187"/>
      <c r="F57" s="187"/>
      <c r="G57" s="39">
        <v>54127</v>
      </c>
      <c r="H57" s="39">
        <v>16945</v>
      </c>
      <c r="I57" s="39"/>
      <c r="J57" s="39">
        <v>941</v>
      </c>
      <c r="K57" s="39">
        <v>2898</v>
      </c>
      <c r="L57" s="39">
        <v>533</v>
      </c>
      <c r="M57" s="39">
        <v>164</v>
      </c>
      <c r="N57" s="39">
        <v>6718</v>
      </c>
      <c r="O57" s="39"/>
      <c r="P57" s="39">
        <v>448</v>
      </c>
      <c r="Q57" s="39">
        <v>1886</v>
      </c>
      <c r="R57" s="39">
        <v>0</v>
      </c>
      <c r="S57" s="39">
        <v>140</v>
      </c>
      <c r="T57" s="39">
        <v>82</v>
      </c>
      <c r="U57" s="39">
        <v>2748</v>
      </c>
      <c r="V57" s="39">
        <v>29924</v>
      </c>
      <c r="W57" s="87">
        <f t="shared" si="16"/>
        <v>117554</v>
      </c>
      <c r="X57" s="97"/>
      <c r="Y57" s="126">
        <f t="shared" si="2"/>
        <v>117554</v>
      </c>
    </row>
    <row r="58" spans="1:27" s="20" customFormat="1" ht="12" x14ac:dyDescent="0.15">
      <c r="A58" s="188" t="s">
        <v>89</v>
      </c>
      <c r="B58" s="189"/>
      <c r="C58" s="189"/>
      <c r="D58" s="189"/>
      <c r="E58" s="189"/>
      <c r="F58" s="189"/>
      <c r="G58" s="71">
        <v>23079</v>
      </c>
      <c r="H58" s="71">
        <v>656</v>
      </c>
      <c r="I58" s="71">
        <v>0</v>
      </c>
      <c r="J58" s="71">
        <v>9</v>
      </c>
      <c r="K58" s="71">
        <v>83</v>
      </c>
      <c r="L58" s="71">
        <v>203</v>
      </c>
      <c r="M58" s="71">
        <v>132</v>
      </c>
      <c r="N58" s="71">
        <v>0</v>
      </c>
      <c r="O58" s="71">
        <v>0</v>
      </c>
      <c r="P58" s="71">
        <v>171</v>
      </c>
      <c r="Q58" s="71">
        <v>209</v>
      </c>
      <c r="R58" s="71">
        <v>0</v>
      </c>
      <c r="S58" s="71">
        <v>0</v>
      </c>
      <c r="T58" s="71">
        <v>0</v>
      </c>
      <c r="U58" s="71">
        <v>0</v>
      </c>
      <c r="V58" s="71">
        <v>2807</v>
      </c>
      <c r="W58" s="127">
        <f t="shared" si="16"/>
        <v>27349</v>
      </c>
      <c r="X58" s="71"/>
      <c r="Y58" s="128">
        <f t="shared" si="2"/>
        <v>27349</v>
      </c>
      <c r="Z58" s="19"/>
      <c r="AA58" s="19"/>
    </row>
    <row r="59" spans="1:27" s="20" customFormat="1" ht="12" x14ac:dyDescent="0.15">
      <c r="A59" s="190" t="s">
        <v>40</v>
      </c>
      <c r="B59" s="191"/>
      <c r="C59" s="191"/>
      <c r="D59" s="191"/>
      <c r="E59" s="191"/>
      <c r="F59" s="191"/>
      <c r="G59" s="71">
        <f>SUM(G60:G61)</f>
        <v>112369</v>
      </c>
      <c r="H59" s="71">
        <f t="shared" ref="H59:V59" si="27">SUM(H60:H61)</f>
        <v>7861</v>
      </c>
      <c r="I59" s="71">
        <f t="shared" si="27"/>
        <v>0</v>
      </c>
      <c r="J59" s="71">
        <f t="shared" si="27"/>
        <v>41</v>
      </c>
      <c r="K59" s="71">
        <f t="shared" si="27"/>
        <v>363</v>
      </c>
      <c r="L59" s="71">
        <f t="shared" si="27"/>
        <v>890</v>
      </c>
      <c r="M59" s="71">
        <f t="shared" si="27"/>
        <v>578</v>
      </c>
      <c r="N59" s="71">
        <f t="shared" si="27"/>
        <v>0</v>
      </c>
      <c r="O59" s="71">
        <f t="shared" si="27"/>
        <v>0</v>
      </c>
      <c r="P59" s="71">
        <f t="shared" si="27"/>
        <v>747</v>
      </c>
      <c r="Q59" s="71">
        <f t="shared" si="27"/>
        <v>914</v>
      </c>
      <c r="R59" s="71">
        <f t="shared" si="27"/>
        <v>0</v>
      </c>
      <c r="S59" s="71">
        <f t="shared" si="27"/>
        <v>0</v>
      </c>
      <c r="T59" s="71">
        <f t="shared" si="27"/>
        <v>0</v>
      </c>
      <c r="U59" s="71">
        <f t="shared" si="27"/>
        <v>0</v>
      </c>
      <c r="V59" s="71">
        <f t="shared" si="27"/>
        <v>24422</v>
      </c>
      <c r="W59" s="71">
        <f>SUM(W60:W61)</f>
        <v>148185</v>
      </c>
      <c r="X59" s="71"/>
      <c r="Y59" s="128">
        <f t="shared" si="2"/>
        <v>148185</v>
      </c>
      <c r="Z59" s="19"/>
      <c r="AA59" s="19"/>
    </row>
    <row r="60" spans="1:27" s="20" customFormat="1" ht="12" x14ac:dyDescent="0.15">
      <c r="A60" s="63"/>
      <c r="B60" s="69"/>
      <c r="C60" s="69"/>
      <c r="D60" s="69" t="s">
        <v>92</v>
      </c>
      <c r="E60" s="69"/>
      <c r="F60" s="69"/>
      <c r="G60" s="96">
        <v>11303</v>
      </c>
      <c r="H60" s="96">
        <v>4987</v>
      </c>
      <c r="I60" s="96"/>
      <c r="J60" s="96"/>
      <c r="K60" s="96"/>
      <c r="L60" s="96"/>
      <c r="M60" s="96">
        <v>0</v>
      </c>
      <c r="N60" s="96">
        <v>0</v>
      </c>
      <c r="O60" s="96"/>
      <c r="P60" s="96"/>
      <c r="Q60" s="96"/>
      <c r="R60" s="96"/>
      <c r="S60" s="96"/>
      <c r="T60" s="96"/>
      <c r="U60" s="96"/>
      <c r="V60" s="96">
        <v>12132</v>
      </c>
      <c r="W60" s="130">
        <f t="shared" si="16"/>
        <v>28422</v>
      </c>
      <c r="X60" s="96"/>
      <c r="Y60" s="118"/>
      <c r="Z60" s="19"/>
      <c r="AA60" s="19"/>
    </row>
    <row r="61" spans="1:27" s="20" customFormat="1" ht="12" x14ac:dyDescent="0.15">
      <c r="A61" s="63"/>
      <c r="B61" s="62"/>
      <c r="C61" s="62"/>
      <c r="D61" s="62" t="s">
        <v>93</v>
      </c>
      <c r="E61" s="62"/>
      <c r="F61" s="62"/>
      <c r="G61" s="71">
        <v>101066</v>
      </c>
      <c r="H61" s="71">
        <v>2874</v>
      </c>
      <c r="I61" s="71">
        <v>0</v>
      </c>
      <c r="J61" s="71">
        <v>41</v>
      </c>
      <c r="K61" s="71">
        <v>363</v>
      </c>
      <c r="L61" s="71">
        <v>890</v>
      </c>
      <c r="M61" s="71">
        <v>578</v>
      </c>
      <c r="N61" s="71">
        <v>0</v>
      </c>
      <c r="O61" s="71">
        <v>0</v>
      </c>
      <c r="P61" s="71">
        <v>747</v>
      </c>
      <c r="Q61" s="71">
        <v>914</v>
      </c>
      <c r="R61" s="71">
        <v>0</v>
      </c>
      <c r="S61" s="71">
        <v>0</v>
      </c>
      <c r="T61" s="71">
        <v>0</v>
      </c>
      <c r="U61" s="71">
        <v>0</v>
      </c>
      <c r="V61" s="71">
        <v>12290</v>
      </c>
      <c r="W61" s="127">
        <f t="shared" si="16"/>
        <v>119763</v>
      </c>
      <c r="X61" s="71"/>
      <c r="Y61" s="128"/>
      <c r="Z61" s="19"/>
      <c r="AA61" s="19"/>
    </row>
    <row r="62" spans="1:27" s="20" customFormat="1" ht="8.25" customHeight="1" x14ac:dyDescent="0.15">
      <c r="A62" s="188" t="s">
        <v>78</v>
      </c>
      <c r="B62" s="189"/>
      <c r="C62" s="189"/>
      <c r="D62" s="189"/>
      <c r="E62" s="189"/>
      <c r="F62" s="189"/>
      <c r="G62" s="71">
        <f>0*G30/100</f>
        <v>0</v>
      </c>
      <c r="H62" s="71">
        <f t="shared" ref="H62:V62" si="28">0*H30/100</f>
        <v>0</v>
      </c>
      <c r="I62" s="71">
        <f t="shared" si="28"/>
        <v>0</v>
      </c>
      <c r="J62" s="71">
        <f t="shared" si="28"/>
        <v>0</v>
      </c>
      <c r="K62" s="71">
        <f t="shared" si="28"/>
        <v>0</v>
      </c>
      <c r="L62" s="71">
        <f t="shared" si="28"/>
        <v>0</v>
      </c>
      <c r="M62" s="71">
        <f t="shared" si="28"/>
        <v>0</v>
      </c>
      <c r="N62" s="71">
        <f t="shared" si="28"/>
        <v>0</v>
      </c>
      <c r="O62" s="71">
        <f t="shared" si="28"/>
        <v>0</v>
      </c>
      <c r="P62" s="71">
        <f t="shared" si="28"/>
        <v>0</v>
      </c>
      <c r="Q62" s="71">
        <f t="shared" si="28"/>
        <v>0</v>
      </c>
      <c r="R62" s="71">
        <f t="shared" si="28"/>
        <v>0</v>
      </c>
      <c r="S62" s="71">
        <f t="shared" si="28"/>
        <v>0</v>
      </c>
      <c r="T62" s="71">
        <f t="shared" si="28"/>
        <v>0</v>
      </c>
      <c r="U62" s="71">
        <f t="shared" si="28"/>
        <v>0</v>
      </c>
      <c r="V62" s="71">
        <f t="shared" si="28"/>
        <v>0</v>
      </c>
      <c r="W62" s="127">
        <f t="shared" si="16"/>
        <v>0</v>
      </c>
      <c r="X62" s="71">
        <v>0</v>
      </c>
      <c r="Y62" s="128">
        <f>SUM(W62:X62)</f>
        <v>0</v>
      </c>
    </row>
    <row r="63" spans="1:27" s="20" customFormat="1" ht="12" x14ac:dyDescent="0.15">
      <c r="A63" s="190" t="s">
        <v>41</v>
      </c>
      <c r="B63" s="191"/>
      <c r="C63" s="191"/>
      <c r="D63" s="191"/>
      <c r="E63" s="191"/>
      <c r="F63" s="191"/>
      <c r="G63" s="71">
        <f>SUM(G64:G66)</f>
        <v>126679</v>
      </c>
      <c r="H63" s="71">
        <f t="shared" ref="H63:W63" si="29">SUM(H64:H66)</f>
        <v>3426</v>
      </c>
      <c r="I63" s="71">
        <f t="shared" si="29"/>
        <v>0</v>
      </c>
      <c r="J63" s="71">
        <f t="shared" si="29"/>
        <v>49</v>
      </c>
      <c r="K63" s="71">
        <f t="shared" si="29"/>
        <v>432</v>
      </c>
      <c r="L63" s="71">
        <f t="shared" si="29"/>
        <v>1061</v>
      </c>
      <c r="M63" s="71">
        <f t="shared" si="29"/>
        <v>689</v>
      </c>
      <c r="N63" s="71">
        <f t="shared" si="29"/>
        <v>220</v>
      </c>
      <c r="O63" s="71">
        <f t="shared" si="29"/>
        <v>0</v>
      </c>
      <c r="P63" s="71">
        <f t="shared" si="29"/>
        <v>890</v>
      </c>
      <c r="Q63" s="71">
        <f t="shared" si="29"/>
        <v>1090</v>
      </c>
      <c r="R63" s="71">
        <f t="shared" si="29"/>
        <v>0</v>
      </c>
      <c r="S63" s="71">
        <f t="shared" si="29"/>
        <v>0</v>
      </c>
      <c r="T63" s="71">
        <f t="shared" si="29"/>
        <v>0</v>
      </c>
      <c r="U63" s="71">
        <f t="shared" si="29"/>
        <v>0</v>
      </c>
      <c r="V63" s="71">
        <f t="shared" si="29"/>
        <v>14651</v>
      </c>
      <c r="W63" s="71">
        <f t="shared" si="29"/>
        <v>149187</v>
      </c>
      <c r="X63" s="71">
        <f>SUM(X64:X65)</f>
        <v>0</v>
      </c>
      <c r="Y63" s="128">
        <f t="shared" si="2"/>
        <v>149187</v>
      </c>
      <c r="Z63" s="19"/>
      <c r="AA63" s="19"/>
    </row>
    <row r="64" spans="1:27" s="12" customFormat="1" ht="12" x14ac:dyDescent="0.15">
      <c r="A64" s="186" t="s">
        <v>42</v>
      </c>
      <c r="B64" s="187"/>
      <c r="C64" s="187"/>
      <c r="D64" s="187"/>
      <c r="E64" s="187"/>
      <c r="F64" s="187"/>
      <c r="G64" s="39">
        <v>6200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87">
        <f t="shared" si="16"/>
        <v>6200</v>
      </c>
      <c r="X64" s="39"/>
      <c r="Y64" s="126">
        <f t="shared" si="2"/>
        <v>6200</v>
      </c>
    </row>
    <row r="65" spans="1:27" s="12" customFormat="1" ht="12" x14ac:dyDescent="0.15">
      <c r="A65" s="192" t="s">
        <v>107</v>
      </c>
      <c r="B65" s="193"/>
      <c r="C65" s="193"/>
      <c r="D65" s="193"/>
      <c r="E65" s="193"/>
      <c r="F65" s="193"/>
      <c r="G65" s="39">
        <v>0</v>
      </c>
      <c r="H65" s="39"/>
      <c r="I65" s="39"/>
      <c r="J65" s="39"/>
      <c r="K65" s="39"/>
      <c r="L65" s="39"/>
      <c r="M65" s="39"/>
      <c r="N65" s="39">
        <v>220</v>
      </c>
      <c r="O65" s="39"/>
      <c r="P65" s="39"/>
      <c r="Q65" s="39"/>
      <c r="R65" s="39"/>
      <c r="S65" s="39"/>
      <c r="T65" s="39"/>
      <c r="U65" s="39"/>
      <c r="V65" s="39"/>
      <c r="W65" s="87">
        <f t="shared" si="16"/>
        <v>220</v>
      </c>
      <c r="X65" s="97"/>
      <c r="Y65" s="126">
        <f t="shared" si="2"/>
        <v>220</v>
      </c>
    </row>
    <row r="66" spans="1:27" s="12" customFormat="1" ht="12" x14ac:dyDescent="0.15">
      <c r="A66" s="61"/>
      <c r="B66" s="62"/>
      <c r="C66" s="62"/>
      <c r="D66" s="62" t="s">
        <v>93</v>
      </c>
      <c r="E66" s="62"/>
      <c r="F66" s="62"/>
      <c r="G66" s="39">
        <v>120479</v>
      </c>
      <c r="H66" s="39">
        <v>3426</v>
      </c>
      <c r="I66" s="39">
        <v>0</v>
      </c>
      <c r="J66" s="39">
        <v>49</v>
      </c>
      <c r="K66" s="39">
        <v>432</v>
      </c>
      <c r="L66" s="39">
        <v>1061</v>
      </c>
      <c r="M66" s="39">
        <v>689</v>
      </c>
      <c r="N66" s="39">
        <v>0</v>
      </c>
      <c r="O66" s="39">
        <v>0</v>
      </c>
      <c r="P66" s="39">
        <v>890</v>
      </c>
      <c r="Q66" s="39">
        <v>1090</v>
      </c>
      <c r="R66" s="39">
        <v>0</v>
      </c>
      <c r="S66" s="39">
        <v>0</v>
      </c>
      <c r="T66" s="39">
        <v>0</v>
      </c>
      <c r="U66" s="39">
        <v>0</v>
      </c>
      <c r="V66" s="39">
        <v>14651</v>
      </c>
      <c r="W66" s="87">
        <f t="shared" si="16"/>
        <v>142767</v>
      </c>
      <c r="X66" s="97">
        <v>142767</v>
      </c>
      <c r="Y66" s="126">
        <v>113203</v>
      </c>
    </row>
    <row r="67" spans="1:27" s="20" customFormat="1" ht="12" x14ac:dyDescent="0.15">
      <c r="A67" s="188" t="s">
        <v>77</v>
      </c>
      <c r="B67" s="189"/>
      <c r="C67" s="189"/>
      <c r="D67" s="189"/>
      <c r="E67" s="189"/>
      <c r="F67" s="189"/>
      <c r="G67" s="71">
        <v>1688</v>
      </c>
      <c r="H67" s="71">
        <v>48</v>
      </c>
      <c r="I67" s="71">
        <v>0</v>
      </c>
      <c r="J67" s="71">
        <v>1</v>
      </c>
      <c r="K67" s="71">
        <v>6</v>
      </c>
      <c r="L67" s="71">
        <v>15</v>
      </c>
      <c r="M67" s="71">
        <v>10</v>
      </c>
      <c r="N67" s="71">
        <v>0</v>
      </c>
      <c r="O67" s="71">
        <v>0</v>
      </c>
      <c r="P67" s="71">
        <v>12</v>
      </c>
      <c r="Q67" s="71">
        <v>15</v>
      </c>
      <c r="R67" s="71">
        <v>0</v>
      </c>
      <c r="S67" s="71">
        <v>0</v>
      </c>
      <c r="T67" s="71">
        <v>0</v>
      </c>
      <c r="U67" s="71">
        <v>0</v>
      </c>
      <c r="V67" s="71">
        <v>205</v>
      </c>
      <c r="W67" s="127">
        <f t="shared" si="16"/>
        <v>2000</v>
      </c>
      <c r="X67" s="71">
        <v>2000</v>
      </c>
      <c r="Y67" s="128">
        <f t="shared" si="2"/>
        <v>4000</v>
      </c>
      <c r="Z67" s="19"/>
      <c r="AA67" s="19"/>
    </row>
    <row r="68" spans="1:27" s="20" customFormat="1" ht="12" x14ac:dyDescent="0.15">
      <c r="A68" s="190" t="s">
        <v>43</v>
      </c>
      <c r="B68" s="191"/>
      <c r="C68" s="191"/>
      <c r="D68" s="191"/>
      <c r="E68" s="191"/>
      <c r="F68" s="191"/>
      <c r="G68" s="71">
        <f>SUM(G69:G71)</f>
        <v>476761</v>
      </c>
      <c r="H68" s="71">
        <f t="shared" ref="H68:V68" si="30">SUM(H69:H71)</f>
        <v>13558</v>
      </c>
      <c r="I68" s="71">
        <f t="shared" si="30"/>
        <v>0</v>
      </c>
      <c r="J68" s="71">
        <f t="shared" si="30"/>
        <v>193</v>
      </c>
      <c r="K68" s="71">
        <f t="shared" si="30"/>
        <v>1709</v>
      </c>
      <c r="L68" s="71">
        <f t="shared" si="30"/>
        <v>4200</v>
      </c>
      <c r="M68" s="71">
        <f t="shared" si="30"/>
        <v>2728</v>
      </c>
      <c r="N68" s="71">
        <f t="shared" si="30"/>
        <v>0</v>
      </c>
      <c r="O68" s="71">
        <f t="shared" si="30"/>
        <v>0</v>
      </c>
      <c r="P68" s="71">
        <f t="shared" si="30"/>
        <v>3523</v>
      </c>
      <c r="Q68" s="71">
        <f t="shared" si="30"/>
        <v>4311</v>
      </c>
      <c r="R68" s="71">
        <f t="shared" si="30"/>
        <v>0</v>
      </c>
      <c r="S68" s="71">
        <f t="shared" si="30"/>
        <v>0</v>
      </c>
      <c r="T68" s="71">
        <f t="shared" si="30"/>
        <v>0</v>
      </c>
      <c r="U68" s="71">
        <f t="shared" si="30"/>
        <v>0</v>
      </c>
      <c r="V68" s="71">
        <f t="shared" si="30"/>
        <v>76337</v>
      </c>
      <c r="W68" s="127">
        <f t="shared" si="16"/>
        <v>583320</v>
      </c>
      <c r="X68" s="71">
        <f>SUM(X69:X71)</f>
        <v>583320</v>
      </c>
      <c r="Y68" s="128">
        <f t="shared" si="2"/>
        <v>1166640</v>
      </c>
      <c r="Z68" s="19"/>
      <c r="AA68" s="19"/>
    </row>
    <row r="69" spans="1:27" s="12" customFormat="1" ht="12" x14ac:dyDescent="0.15">
      <c r="A69" s="186" t="s">
        <v>44</v>
      </c>
      <c r="B69" s="187"/>
      <c r="C69" s="187"/>
      <c r="D69" s="187"/>
      <c r="E69" s="187"/>
      <c r="F69" s="187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>
        <v>18360</v>
      </c>
      <c r="W69" s="87">
        <f t="shared" si="16"/>
        <v>18360</v>
      </c>
      <c r="X69" s="39">
        <v>18360</v>
      </c>
      <c r="Y69" s="126">
        <f t="shared" si="2"/>
        <v>36720</v>
      </c>
    </row>
    <row r="70" spans="1:27" s="12" customFormat="1" ht="12" x14ac:dyDescent="0.15">
      <c r="A70" s="188" t="s">
        <v>55</v>
      </c>
      <c r="B70" s="189"/>
      <c r="C70" s="189"/>
      <c r="D70" s="189"/>
      <c r="E70" s="189"/>
      <c r="F70" s="189"/>
      <c r="G70" s="39">
        <v>356457</v>
      </c>
      <c r="H70" s="39">
        <v>10137</v>
      </c>
      <c r="I70" s="39">
        <v>0</v>
      </c>
      <c r="J70" s="39">
        <v>144</v>
      </c>
      <c r="K70" s="39">
        <v>1278</v>
      </c>
      <c r="L70" s="39">
        <v>3140</v>
      </c>
      <c r="M70" s="39">
        <v>2040</v>
      </c>
      <c r="N70" s="39">
        <v>0</v>
      </c>
      <c r="O70" s="39">
        <v>0</v>
      </c>
      <c r="P70" s="39">
        <v>2634</v>
      </c>
      <c r="Q70" s="39">
        <v>3223</v>
      </c>
      <c r="R70" s="39">
        <v>0</v>
      </c>
      <c r="S70" s="39">
        <v>0</v>
      </c>
      <c r="T70" s="39">
        <v>0</v>
      </c>
      <c r="U70" s="39">
        <v>0</v>
      </c>
      <c r="V70" s="39">
        <v>43347</v>
      </c>
      <c r="W70" s="87">
        <f t="shared" si="16"/>
        <v>422400</v>
      </c>
      <c r="X70" s="39">
        <v>422400</v>
      </c>
      <c r="Y70" s="126">
        <f t="shared" si="2"/>
        <v>844800</v>
      </c>
    </row>
    <row r="71" spans="1:27" s="12" customFormat="1" ht="12" x14ac:dyDescent="0.15">
      <c r="A71" s="188" t="s">
        <v>56</v>
      </c>
      <c r="B71" s="189"/>
      <c r="C71" s="189"/>
      <c r="D71" s="189"/>
      <c r="E71" s="189"/>
      <c r="F71" s="189"/>
      <c r="G71" s="39">
        <v>120304</v>
      </c>
      <c r="H71" s="39">
        <v>3421</v>
      </c>
      <c r="I71" s="39">
        <v>0</v>
      </c>
      <c r="J71" s="39">
        <v>49</v>
      </c>
      <c r="K71" s="39">
        <v>431</v>
      </c>
      <c r="L71" s="39">
        <v>1060</v>
      </c>
      <c r="M71" s="39">
        <v>688</v>
      </c>
      <c r="N71" s="39">
        <v>0</v>
      </c>
      <c r="O71" s="39">
        <v>0</v>
      </c>
      <c r="P71" s="39">
        <v>889</v>
      </c>
      <c r="Q71" s="39">
        <v>1088</v>
      </c>
      <c r="R71" s="39">
        <v>0</v>
      </c>
      <c r="S71" s="39">
        <v>0</v>
      </c>
      <c r="T71" s="39">
        <v>0</v>
      </c>
      <c r="U71" s="39">
        <v>0</v>
      </c>
      <c r="V71" s="39">
        <v>14630</v>
      </c>
      <c r="W71" s="87">
        <f t="shared" si="16"/>
        <v>142560</v>
      </c>
      <c r="X71" s="39">
        <v>142560</v>
      </c>
      <c r="Y71" s="126">
        <f t="shared" si="2"/>
        <v>285120</v>
      </c>
    </row>
    <row r="72" spans="1:27" s="20" customFormat="1" ht="12" x14ac:dyDescent="0.15">
      <c r="A72" s="190" t="s">
        <v>45</v>
      </c>
      <c r="B72" s="191"/>
      <c r="C72" s="191"/>
      <c r="D72" s="191"/>
      <c r="E72" s="191"/>
      <c r="F72" s="191"/>
      <c r="G72" s="71">
        <v>48000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>
        <v>113000</v>
      </c>
      <c r="W72" s="127">
        <f t="shared" si="16"/>
        <v>161000</v>
      </c>
      <c r="X72" s="71">
        <v>113000</v>
      </c>
      <c r="Y72" s="128">
        <f t="shared" si="2"/>
        <v>274000</v>
      </c>
      <c r="Z72" s="19"/>
      <c r="AA72" s="19"/>
    </row>
    <row r="73" spans="1:27" s="20" customFormat="1" ht="7.5" customHeight="1" x14ac:dyDescent="0.15">
      <c r="A73" s="190" t="s">
        <v>57</v>
      </c>
      <c r="B73" s="191"/>
      <c r="C73" s="191"/>
      <c r="D73" s="191"/>
      <c r="E73" s="191"/>
      <c r="F73" s="191"/>
      <c r="G73" s="71">
        <f>SUM(G74)</f>
        <v>0</v>
      </c>
      <c r="H73" s="71">
        <f t="shared" ref="H73:V73" si="31">SUM(H74)</f>
        <v>0</v>
      </c>
      <c r="I73" s="71">
        <f t="shared" si="31"/>
        <v>0</v>
      </c>
      <c r="J73" s="71">
        <f t="shared" si="31"/>
        <v>0</v>
      </c>
      <c r="K73" s="71">
        <f t="shared" si="31"/>
        <v>0</v>
      </c>
      <c r="L73" s="71">
        <f t="shared" si="31"/>
        <v>0</v>
      </c>
      <c r="M73" s="71">
        <f t="shared" si="31"/>
        <v>0</v>
      </c>
      <c r="N73" s="71">
        <f t="shared" si="31"/>
        <v>0</v>
      </c>
      <c r="O73" s="71">
        <f t="shared" si="31"/>
        <v>0</v>
      </c>
      <c r="P73" s="71">
        <f t="shared" si="31"/>
        <v>0</v>
      </c>
      <c r="Q73" s="71">
        <f t="shared" si="31"/>
        <v>0</v>
      </c>
      <c r="R73" s="71">
        <f t="shared" si="31"/>
        <v>0</v>
      </c>
      <c r="S73" s="71">
        <f t="shared" si="31"/>
        <v>0</v>
      </c>
      <c r="T73" s="71">
        <f t="shared" si="31"/>
        <v>0</v>
      </c>
      <c r="U73" s="71">
        <f t="shared" si="31"/>
        <v>0</v>
      </c>
      <c r="V73" s="71">
        <f t="shared" si="31"/>
        <v>13000</v>
      </c>
      <c r="W73" s="127">
        <f t="shared" si="16"/>
        <v>13000</v>
      </c>
      <c r="X73" s="71">
        <f>X74</f>
        <v>13000</v>
      </c>
      <c r="Y73" s="128">
        <f t="shared" si="2"/>
        <v>26000</v>
      </c>
      <c r="Z73" s="19"/>
      <c r="AA73" s="19"/>
    </row>
    <row r="74" spans="1:27" s="12" customFormat="1" ht="7.5" customHeight="1" x14ac:dyDescent="0.15">
      <c r="A74" s="186" t="s">
        <v>54</v>
      </c>
      <c r="B74" s="187"/>
      <c r="C74" s="187"/>
      <c r="D74" s="187"/>
      <c r="E74" s="187"/>
      <c r="F74" s="187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>
        <v>13000</v>
      </c>
      <c r="W74" s="87">
        <f t="shared" si="16"/>
        <v>13000</v>
      </c>
      <c r="X74" s="39">
        <v>13000</v>
      </c>
      <c r="Y74" s="126">
        <f t="shared" si="2"/>
        <v>26000</v>
      </c>
    </row>
    <row r="75" spans="1:27" s="20" customFormat="1" ht="12" x14ac:dyDescent="0.15">
      <c r="A75" s="190" t="s">
        <v>82</v>
      </c>
      <c r="B75" s="191"/>
      <c r="C75" s="191"/>
      <c r="D75" s="191"/>
      <c r="E75" s="191"/>
      <c r="F75" s="19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>
        <v>21200</v>
      </c>
      <c r="W75" s="127">
        <f t="shared" si="16"/>
        <v>21200</v>
      </c>
      <c r="X75" s="71">
        <v>21200</v>
      </c>
      <c r="Y75" s="128">
        <f t="shared" si="2"/>
        <v>42400</v>
      </c>
      <c r="Z75" s="19"/>
      <c r="AA75" s="19"/>
    </row>
    <row r="76" spans="1:27" s="20" customFormat="1" ht="12" x14ac:dyDescent="0.15">
      <c r="A76" s="190" t="s">
        <v>46</v>
      </c>
      <c r="B76" s="191"/>
      <c r="C76" s="191"/>
      <c r="D76" s="191"/>
      <c r="E76" s="191"/>
      <c r="F76" s="191"/>
      <c r="G76" s="71">
        <v>91290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>
        <v>0</v>
      </c>
      <c r="W76" s="127">
        <f t="shared" si="16"/>
        <v>91290</v>
      </c>
      <c r="X76" s="71">
        <v>0</v>
      </c>
      <c r="Y76" s="128">
        <f t="shared" si="2"/>
        <v>91290</v>
      </c>
      <c r="Z76" s="19"/>
      <c r="AA76" s="19"/>
    </row>
    <row r="77" spans="1:27" s="20" customFormat="1" ht="12" x14ac:dyDescent="0.15">
      <c r="A77" s="190" t="s">
        <v>80</v>
      </c>
      <c r="B77" s="191"/>
      <c r="C77" s="191"/>
      <c r="D77" s="191"/>
      <c r="E77" s="191"/>
      <c r="F77" s="191"/>
      <c r="G77" s="71"/>
      <c r="H77" s="71">
        <v>56000</v>
      </c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127">
        <f t="shared" si="16"/>
        <v>56000</v>
      </c>
      <c r="X77" s="71">
        <v>0</v>
      </c>
      <c r="Y77" s="128">
        <f t="shared" si="2"/>
        <v>56000</v>
      </c>
      <c r="Z77" s="19"/>
      <c r="AA77" s="19"/>
    </row>
    <row r="78" spans="1:27" s="20" customFormat="1" ht="12" x14ac:dyDescent="0.15">
      <c r="A78" s="190" t="s">
        <v>144</v>
      </c>
      <c r="B78" s="191"/>
      <c r="C78" s="191"/>
      <c r="D78" s="191"/>
      <c r="E78" s="191"/>
      <c r="F78" s="191"/>
      <c r="G78" s="71"/>
      <c r="H78" s="71"/>
      <c r="I78" s="71"/>
      <c r="J78" s="71"/>
      <c r="K78" s="71">
        <v>9080000</v>
      </c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127">
        <f t="shared" si="16"/>
        <v>9080000</v>
      </c>
      <c r="X78" s="71"/>
      <c r="Y78" s="128"/>
      <c r="Z78" s="19"/>
      <c r="AA78" s="19"/>
    </row>
    <row r="79" spans="1:27" s="20" customFormat="1" ht="12" x14ac:dyDescent="0.15">
      <c r="A79" s="190" t="s">
        <v>58</v>
      </c>
      <c r="B79" s="191"/>
      <c r="C79" s="191"/>
      <c r="D79" s="191"/>
      <c r="E79" s="191"/>
      <c r="F79" s="19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>
        <v>6912</v>
      </c>
      <c r="W79" s="127">
        <f t="shared" si="16"/>
        <v>6912</v>
      </c>
      <c r="X79" s="131">
        <v>6912</v>
      </c>
      <c r="Y79" s="128">
        <f t="shared" si="2"/>
        <v>13824</v>
      </c>
      <c r="Z79" s="19"/>
      <c r="AA79" s="19"/>
    </row>
    <row r="80" spans="1:27" s="12" customFormat="1" ht="12" x14ac:dyDescent="0.15">
      <c r="A80" s="186" t="s">
        <v>59</v>
      </c>
      <c r="B80" s="187"/>
      <c r="C80" s="187"/>
      <c r="D80" s="187"/>
      <c r="E80" s="187"/>
      <c r="F80" s="187"/>
      <c r="G80" s="72">
        <f>G35+G36+G40+G41+G42+G48+G49+G53+G58+G59+G62+G63+G67+G68+G72+G73+G75+G76+G77+G78+G79</f>
        <v>6727798</v>
      </c>
      <c r="H80" s="72">
        <f t="shared" ref="H80:W80" si="32">H35+H36+H40+H41+H42+H48+H49+H53+H58+H59+H62+H63+H67+H68+H72+H73+H75+H76+H77+H78+H79</f>
        <v>277782</v>
      </c>
      <c r="I80" s="72">
        <f t="shared" si="32"/>
        <v>0</v>
      </c>
      <c r="J80" s="72">
        <f t="shared" si="32"/>
        <v>3551</v>
      </c>
      <c r="K80" s="72">
        <f t="shared" si="32"/>
        <v>9118831</v>
      </c>
      <c r="L80" s="72">
        <f t="shared" si="32"/>
        <v>58289</v>
      </c>
      <c r="M80" s="72">
        <f t="shared" si="32"/>
        <v>36699</v>
      </c>
      <c r="N80" s="72">
        <f t="shared" si="32"/>
        <v>64498</v>
      </c>
      <c r="O80" s="72">
        <f t="shared" si="32"/>
        <v>0</v>
      </c>
      <c r="P80" s="72">
        <f t="shared" si="32"/>
        <v>48341</v>
      </c>
      <c r="Q80" s="72">
        <f t="shared" si="32"/>
        <v>63720</v>
      </c>
      <c r="R80" s="72">
        <f t="shared" si="32"/>
        <v>0</v>
      </c>
      <c r="S80" s="72">
        <f t="shared" si="32"/>
        <v>140</v>
      </c>
      <c r="T80" s="72">
        <f t="shared" si="32"/>
        <v>82</v>
      </c>
      <c r="U80" s="72">
        <f t="shared" si="32"/>
        <v>3998</v>
      </c>
      <c r="V80" s="72">
        <f t="shared" si="32"/>
        <v>1660356</v>
      </c>
      <c r="W80" s="72">
        <f t="shared" si="32"/>
        <v>18064085</v>
      </c>
      <c r="X80" s="23">
        <f>X35+X36+X40+X41+X42+X48+X49+X53+X59+X62+X63+X67+X68+X72+X73+X75+X76+X77+X79+X58</f>
        <v>8111396</v>
      </c>
      <c r="Y80" s="31">
        <f>SUM(W80:X80)</f>
        <v>26175481</v>
      </c>
    </row>
    <row r="81" spans="1:25" s="12" customFormat="1" ht="12" x14ac:dyDescent="0.15">
      <c r="A81" s="180" t="s">
        <v>60</v>
      </c>
      <c r="B81" s="181"/>
      <c r="C81" s="181"/>
      <c r="D81" s="181"/>
      <c r="E81" s="181"/>
      <c r="F81" s="181"/>
      <c r="G81" s="40">
        <f>SUM(G26-G80)</f>
        <v>-1717798</v>
      </c>
      <c r="H81" s="40">
        <f t="shared" ref="H81:X81" si="33">SUM(H26-H80)</f>
        <v>-25282</v>
      </c>
      <c r="I81" s="40">
        <f t="shared" si="33"/>
        <v>0</v>
      </c>
      <c r="J81" s="40">
        <f t="shared" si="33"/>
        <v>-911</v>
      </c>
      <c r="K81" s="40">
        <f t="shared" si="33"/>
        <v>-38831</v>
      </c>
      <c r="L81" s="40">
        <f t="shared" si="33"/>
        <v>-54530</v>
      </c>
      <c r="M81" s="40">
        <f t="shared" si="33"/>
        <v>-36699</v>
      </c>
      <c r="N81" s="40">
        <f t="shared" si="33"/>
        <v>0</v>
      </c>
      <c r="O81" s="40">
        <f t="shared" si="33"/>
        <v>0</v>
      </c>
      <c r="P81" s="40">
        <f t="shared" si="33"/>
        <v>-28431</v>
      </c>
      <c r="Q81" s="40">
        <f t="shared" si="33"/>
        <v>-61190</v>
      </c>
      <c r="R81" s="40">
        <f t="shared" si="33"/>
        <v>0</v>
      </c>
      <c r="S81" s="40">
        <f t="shared" si="33"/>
        <v>-140</v>
      </c>
      <c r="T81" s="40">
        <f t="shared" si="33"/>
        <v>-82</v>
      </c>
      <c r="U81" s="40">
        <f t="shared" si="33"/>
        <v>-3998</v>
      </c>
      <c r="V81" s="40">
        <f t="shared" si="33"/>
        <v>2240081</v>
      </c>
      <c r="W81" s="40">
        <f t="shared" si="33"/>
        <v>272189</v>
      </c>
      <c r="X81" s="40">
        <f t="shared" si="33"/>
        <v>-8111396</v>
      </c>
      <c r="Y81" s="26">
        <f>Y35+Y36+Y40+Y41+Y42+Y48+Y49+Y53+Y58+Y59+Y63+Y67+Y68+Y72+Y73+Y75+Y76+Y77+Y79+Y62</f>
        <v>17095481</v>
      </c>
    </row>
    <row r="82" spans="1:25" s="12" customFormat="1" ht="12" x14ac:dyDescent="0.15">
      <c r="A82" s="184" t="s">
        <v>61</v>
      </c>
      <c r="B82" s="185"/>
      <c r="C82" s="185"/>
      <c r="D82" s="185"/>
      <c r="E82" s="185"/>
      <c r="F82" s="185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9"/>
    </row>
    <row r="83" spans="1:25" s="12" customFormat="1" ht="12" x14ac:dyDescent="0.15">
      <c r="A83" s="180" t="s">
        <v>62</v>
      </c>
      <c r="B83" s="181"/>
      <c r="C83" s="181"/>
      <c r="D83" s="181"/>
      <c r="E83" s="181"/>
      <c r="F83" s="181"/>
      <c r="G83" s="24">
        <v>3696676</v>
      </c>
      <c r="H83" s="24">
        <v>-37301</v>
      </c>
      <c r="I83" s="24">
        <v>0</v>
      </c>
      <c r="J83" s="24">
        <v>-830</v>
      </c>
      <c r="K83" s="24">
        <v>-1080</v>
      </c>
      <c r="L83" s="24">
        <v>-8014</v>
      </c>
      <c r="M83" s="24">
        <v>-986</v>
      </c>
      <c r="N83" s="24">
        <v>40388</v>
      </c>
      <c r="O83" s="24">
        <v>-1994</v>
      </c>
      <c r="P83" s="24">
        <v>226</v>
      </c>
      <c r="Q83" s="24">
        <v>7491</v>
      </c>
      <c r="R83" s="24">
        <v>7491</v>
      </c>
      <c r="S83" s="24">
        <v>-38967</v>
      </c>
      <c r="T83" s="24">
        <v>-38967</v>
      </c>
      <c r="U83" s="24">
        <v>-38967</v>
      </c>
      <c r="V83" s="24">
        <v>-4238152</v>
      </c>
      <c r="W83" s="25">
        <v>-582543</v>
      </c>
      <c r="X83" s="76">
        <f>SUM(W80-W26)+272189</f>
        <v>0</v>
      </c>
      <c r="Y83" s="76">
        <f>SUM(W80-W34)</f>
        <v>0</v>
      </c>
    </row>
    <row r="84" spans="1:25" s="12" customFormat="1" ht="12" x14ac:dyDescent="0.15">
      <c r="A84" s="180" t="s">
        <v>63</v>
      </c>
      <c r="B84" s="181"/>
      <c r="C84" s="181"/>
      <c r="D84" s="181"/>
      <c r="E84" s="181"/>
      <c r="F84" s="181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8"/>
      <c r="X84" s="80" t="s">
        <v>149</v>
      </c>
    </row>
    <row r="85" spans="1:25" s="12" customFormat="1" ht="12" x14ac:dyDescent="0.15">
      <c r="A85" s="180" t="s">
        <v>64</v>
      </c>
      <c r="B85" s="181"/>
      <c r="C85" s="181"/>
      <c r="D85" s="181"/>
      <c r="E85" s="181"/>
      <c r="F85" s="181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30"/>
    </row>
    <row r="86" spans="1:25" s="12" customFormat="1" ht="12" x14ac:dyDescent="0.15">
      <c r="A86" s="180" t="s">
        <v>65</v>
      </c>
      <c r="B86" s="181"/>
      <c r="C86" s="181"/>
      <c r="D86" s="181"/>
      <c r="E86" s="181"/>
      <c r="F86" s="181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5"/>
    </row>
    <row r="87" spans="1:25" s="12" customFormat="1" ht="12" x14ac:dyDescent="0.15">
      <c r="A87" s="180" t="s">
        <v>66</v>
      </c>
      <c r="B87" s="181"/>
      <c r="C87" s="181"/>
      <c r="D87" s="181"/>
      <c r="E87" s="181"/>
      <c r="F87" s="181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8"/>
    </row>
    <row r="88" spans="1:25" s="12" customFormat="1" ht="12" x14ac:dyDescent="0.15">
      <c r="A88" s="180" t="s">
        <v>67</v>
      </c>
      <c r="B88" s="181"/>
      <c r="C88" s="181"/>
      <c r="D88" s="181"/>
      <c r="E88" s="181"/>
      <c r="F88" s="181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5"/>
    </row>
    <row r="89" spans="1:25" s="12" customFormat="1" ht="12" x14ac:dyDescent="0.15">
      <c r="A89" s="180" t="s">
        <v>68</v>
      </c>
      <c r="B89" s="181"/>
      <c r="C89" s="181"/>
      <c r="D89" s="181"/>
      <c r="E89" s="181"/>
      <c r="F89" s="181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5"/>
    </row>
    <row r="90" spans="1:25" s="12" customFormat="1" ht="12" x14ac:dyDescent="0.15">
      <c r="A90" s="180" t="s">
        <v>69</v>
      </c>
      <c r="B90" s="181"/>
      <c r="C90" s="181"/>
      <c r="D90" s="181"/>
      <c r="E90" s="181"/>
      <c r="F90" s="181"/>
      <c r="G90" s="24">
        <v>3696676</v>
      </c>
      <c r="H90" s="24">
        <v>-37301</v>
      </c>
      <c r="I90" s="24"/>
      <c r="J90" s="24">
        <v>-830</v>
      </c>
      <c r="K90" s="24">
        <v>-1080</v>
      </c>
      <c r="L90" s="24">
        <v>-8014</v>
      </c>
      <c r="M90" s="24">
        <v>-986</v>
      </c>
      <c r="N90" s="24">
        <v>40388</v>
      </c>
      <c r="O90" s="24">
        <v>-1994</v>
      </c>
      <c r="P90" s="24">
        <v>226</v>
      </c>
      <c r="Q90" s="24">
        <v>7491</v>
      </c>
      <c r="R90" s="24">
        <v>7491</v>
      </c>
      <c r="S90" s="24">
        <v>-38967</v>
      </c>
      <c r="T90" s="24">
        <v>-38967</v>
      </c>
      <c r="U90" s="24">
        <v>-38967</v>
      </c>
      <c r="V90" s="24">
        <v>-4238152</v>
      </c>
      <c r="W90" s="25">
        <v>-582543</v>
      </c>
    </row>
    <row r="91" spans="1:25" s="12" customFormat="1" ht="12" x14ac:dyDescent="0.15">
      <c r="A91" s="180" t="s">
        <v>70</v>
      </c>
      <c r="B91" s="181"/>
      <c r="C91" s="181"/>
      <c r="D91" s="181"/>
      <c r="E91" s="181"/>
      <c r="F91" s="181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>
        <v>6300893</v>
      </c>
      <c r="W91" s="25">
        <v>6300893</v>
      </c>
    </row>
    <row r="92" spans="1:25" s="12" customFormat="1" ht="12" x14ac:dyDescent="0.15">
      <c r="A92" s="180" t="s">
        <v>71</v>
      </c>
      <c r="B92" s="181"/>
      <c r="C92" s="181"/>
      <c r="D92" s="181"/>
      <c r="E92" s="181"/>
      <c r="F92" s="181"/>
      <c r="G92" s="24">
        <v>3696676</v>
      </c>
      <c r="H92" s="24">
        <v>-37301</v>
      </c>
      <c r="I92" s="24"/>
      <c r="J92" s="24">
        <v>-830</v>
      </c>
      <c r="K92" s="24">
        <v>-1080</v>
      </c>
      <c r="L92" s="24">
        <v>-8014</v>
      </c>
      <c r="M92" s="24">
        <v>-986</v>
      </c>
      <c r="N92" s="24">
        <v>40388</v>
      </c>
      <c r="O92" s="24">
        <v>-1994</v>
      </c>
      <c r="P92" s="24">
        <v>226</v>
      </c>
      <c r="Q92" s="24">
        <v>7491</v>
      </c>
      <c r="R92" s="24">
        <v>7491</v>
      </c>
      <c r="S92" s="24">
        <v>-38967</v>
      </c>
      <c r="T92" s="24">
        <v>-38967</v>
      </c>
      <c r="U92" s="24">
        <v>-38967</v>
      </c>
      <c r="V92" s="24">
        <v>2062741</v>
      </c>
      <c r="W92" s="25">
        <v>5718350</v>
      </c>
    </row>
    <row r="93" spans="1:25" s="12" customFormat="1" ht="12" x14ac:dyDescent="0.15">
      <c r="A93" s="180" t="s">
        <v>72</v>
      </c>
      <c r="B93" s="181"/>
      <c r="C93" s="181"/>
      <c r="D93" s="181"/>
      <c r="E93" s="181"/>
      <c r="F93" s="181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8"/>
    </row>
    <row r="94" spans="1:25" s="12" customFormat="1" ht="12" x14ac:dyDescent="0.15">
      <c r="A94" s="180" t="s">
        <v>73</v>
      </c>
      <c r="B94" s="181"/>
      <c r="C94" s="181"/>
      <c r="D94" s="181"/>
      <c r="E94" s="181"/>
      <c r="F94" s="181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5"/>
    </row>
    <row r="95" spans="1:25" s="12" customFormat="1" ht="12" x14ac:dyDescent="0.15">
      <c r="A95" s="180" t="s">
        <v>74</v>
      </c>
      <c r="B95" s="181"/>
      <c r="C95" s="181"/>
      <c r="D95" s="181"/>
      <c r="E95" s="181"/>
      <c r="F95" s="181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5"/>
    </row>
    <row r="96" spans="1:25" s="12" customFormat="1" ht="12" x14ac:dyDescent="0.15">
      <c r="A96" s="180" t="s">
        <v>75</v>
      </c>
      <c r="B96" s="181"/>
      <c r="C96" s="181"/>
      <c r="D96" s="181"/>
      <c r="E96" s="181"/>
      <c r="F96" s="181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5"/>
    </row>
    <row r="97" spans="1:23" s="12" customFormat="1" ht="12" x14ac:dyDescent="0.15">
      <c r="A97" s="182" t="s">
        <v>76</v>
      </c>
      <c r="B97" s="183"/>
      <c r="C97" s="183"/>
      <c r="D97" s="183"/>
      <c r="E97" s="183"/>
      <c r="F97" s="183"/>
      <c r="G97" s="24">
        <v>3696676</v>
      </c>
      <c r="H97" s="24">
        <v>-37301</v>
      </c>
      <c r="I97" s="24"/>
      <c r="J97" s="24">
        <v>-830</v>
      </c>
      <c r="K97" s="24">
        <v>-1080</v>
      </c>
      <c r="L97" s="24">
        <v>-8014</v>
      </c>
      <c r="M97" s="24">
        <v>-986</v>
      </c>
      <c r="N97" s="24">
        <v>40388</v>
      </c>
      <c r="O97" s="24">
        <v>-1994</v>
      </c>
      <c r="P97" s="24">
        <v>226</v>
      </c>
      <c r="Q97" s="24">
        <v>7491</v>
      </c>
      <c r="R97" s="24">
        <v>7491</v>
      </c>
      <c r="S97" s="24">
        <v>-38967</v>
      </c>
      <c r="T97" s="24">
        <v>-38967</v>
      </c>
      <c r="U97" s="24">
        <v>-38967</v>
      </c>
      <c r="V97" s="24">
        <v>2062741</v>
      </c>
      <c r="W97" s="25">
        <v>5718350</v>
      </c>
    </row>
    <row r="98" spans="1:23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</sheetData>
  <mergeCells count="83">
    <mergeCell ref="A95:F95"/>
    <mergeCell ref="A96:F96"/>
    <mergeCell ref="A97:F97"/>
    <mergeCell ref="A89:F89"/>
    <mergeCell ref="A90:F90"/>
    <mergeCell ref="A91:F91"/>
    <mergeCell ref="A92:F92"/>
    <mergeCell ref="A93:F93"/>
    <mergeCell ref="A94:F94"/>
    <mergeCell ref="A88:F88"/>
    <mergeCell ref="A76:F76"/>
    <mergeCell ref="A77:F77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78:F78"/>
    <mergeCell ref="A75:F75"/>
    <mergeCell ref="A63:F63"/>
    <mergeCell ref="A64:F64"/>
    <mergeCell ref="A65:F65"/>
    <mergeCell ref="A67:F67"/>
    <mergeCell ref="A68:F68"/>
    <mergeCell ref="A69:F69"/>
    <mergeCell ref="A70:F70"/>
    <mergeCell ref="A71:F71"/>
    <mergeCell ref="A72:F72"/>
    <mergeCell ref="A73:F73"/>
    <mergeCell ref="A74:F74"/>
    <mergeCell ref="A62:F62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48:F48"/>
    <mergeCell ref="A35:F35"/>
    <mergeCell ref="A36:F36"/>
    <mergeCell ref="A37:F37"/>
    <mergeCell ref="A40:F40"/>
    <mergeCell ref="A41:F41"/>
    <mergeCell ref="A42:F42"/>
    <mergeCell ref="A43:F43"/>
    <mergeCell ref="A44:F44"/>
    <mergeCell ref="A45:F45"/>
    <mergeCell ref="A46:F46"/>
    <mergeCell ref="A47:F47"/>
    <mergeCell ref="A34:F34"/>
    <mergeCell ref="A14:F14"/>
    <mergeCell ref="A15:F15"/>
    <mergeCell ref="A17:F17"/>
    <mergeCell ref="A18:F18"/>
    <mergeCell ref="A19:F19"/>
    <mergeCell ref="A20:F20"/>
    <mergeCell ref="A23:F23"/>
    <mergeCell ref="A24:F24"/>
    <mergeCell ref="A25:F25"/>
    <mergeCell ref="A26:F26"/>
    <mergeCell ref="A27:F27"/>
    <mergeCell ref="A16:F16"/>
    <mergeCell ref="A13:F13"/>
    <mergeCell ref="A3:W3"/>
    <mergeCell ref="A4:F4"/>
    <mergeCell ref="A5:F6"/>
    <mergeCell ref="G5:V5"/>
    <mergeCell ref="W5:W6"/>
    <mergeCell ref="A7:F7"/>
    <mergeCell ref="A8:F8"/>
    <mergeCell ref="A9:F9"/>
    <mergeCell ref="A10:F10"/>
    <mergeCell ref="A11:F11"/>
    <mergeCell ref="A12:F12"/>
  </mergeCells>
  <phoneticPr fontId="1"/>
  <pageMargins left="0.70866141732283472" right="0.70866141732283472" top="7.874015748031496E-2" bottom="7.874015748031496E-2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4" sqref="A4:I4"/>
    </sheetView>
  </sheetViews>
  <sheetFormatPr defaultRowHeight="13.5" x14ac:dyDescent="0.15"/>
  <cols>
    <col min="1" max="5" width="9" style="48"/>
    <col min="6" max="6" width="7.25" style="48" customWidth="1"/>
    <col min="7" max="8" width="13.375" style="49" customWidth="1"/>
    <col min="9" max="9" width="15.125" style="49" customWidth="1"/>
    <col min="10" max="16384" width="9" style="48"/>
  </cols>
  <sheetData>
    <row r="1" spans="1:10" s="43" customFormat="1" ht="24.75" customHeight="1" x14ac:dyDescent="0.15">
      <c r="A1" s="44"/>
    </row>
    <row r="2" spans="1:10" ht="25.5" customHeight="1" x14ac:dyDescent="0.15">
      <c r="A2" s="47" t="s">
        <v>163</v>
      </c>
    </row>
    <row r="3" spans="1:10" ht="21" customHeight="1" x14ac:dyDescent="0.15">
      <c r="A3" s="220" t="s">
        <v>164</v>
      </c>
      <c r="B3" s="220"/>
      <c r="C3" s="220"/>
      <c r="D3" s="220"/>
      <c r="E3" s="220"/>
      <c r="F3" s="220"/>
      <c r="G3" s="220"/>
      <c r="H3" s="220"/>
      <c r="I3" s="220"/>
    </row>
    <row r="4" spans="1:10" ht="20.25" customHeight="1" x14ac:dyDescent="0.15">
      <c r="A4" s="221" t="s">
        <v>143</v>
      </c>
      <c r="B4" s="221"/>
      <c r="C4" s="221"/>
      <c r="D4" s="221"/>
      <c r="E4" s="221"/>
      <c r="F4" s="221"/>
      <c r="G4" s="221"/>
      <c r="H4" s="221"/>
      <c r="I4" s="221"/>
    </row>
    <row r="5" spans="1:10" ht="15" customHeight="1" x14ac:dyDescent="0.15">
      <c r="A5" s="222"/>
      <c r="B5" s="222"/>
      <c r="C5" s="222"/>
      <c r="D5" s="222"/>
      <c r="E5" s="222"/>
      <c r="F5" s="222"/>
      <c r="G5" s="223" t="s">
        <v>90</v>
      </c>
      <c r="H5" s="223"/>
      <c r="I5" s="223"/>
    </row>
    <row r="6" spans="1:10" ht="19.5" customHeight="1" x14ac:dyDescent="0.15">
      <c r="A6" s="224" t="s">
        <v>1</v>
      </c>
      <c r="B6" s="225"/>
      <c r="C6" s="225"/>
      <c r="D6" s="225"/>
      <c r="E6" s="225"/>
      <c r="F6" s="225"/>
      <c r="G6" s="50" t="s">
        <v>111</v>
      </c>
      <c r="H6" s="50" t="s">
        <v>112</v>
      </c>
      <c r="I6" s="51" t="s">
        <v>91</v>
      </c>
    </row>
    <row r="7" spans="1:10" ht="19.5" customHeight="1" x14ac:dyDescent="0.15">
      <c r="A7" s="218" t="s">
        <v>113</v>
      </c>
      <c r="B7" s="219"/>
      <c r="C7" s="219"/>
      <c r="D7" s="219"/>
      <c r="E7" s="219"/>
      <c r="F7" s="219"/>
      <c r="G7" s="173"/>
      <c r="H7" s="52"/>
      <c r="I7" s="53"/>
    </row>
    <row r="8" spans="1:10" ht="19.5" customHeight="1" x14ac:dyDescent="0.15">
      <c r="A8" s="216" t="s">
        <v>114</v>
      </c>
      <c r="B8" s="217"/>
      <c r="C8" s="217"/>
      <c r="D8" s="217"/>
      <c r="E8" s="217"/>
      <c r="F8" s="217"/>
      <c r="G8" s="174"/>
      <c r="H8" s="54"/>
      <c r="I8" s="55"/>
    </row>
    <row r="9" spans="1:10" ht="19.5" customHeight="1" x14ac:dyDescent="0.15">
      <c r="A9" s="216" t="s">
        <v>115</v>
      </c>
      <c r="B9" s="217"/>
      <c r="C9" s="217"/>
      <c r="D9" s="217"/>
      <c r="E9" s="217"/>
      <c r="F9" s="217"/>
      <c r="G9" s="175">
        <v>6653532</v>
      </c>
      <c r="H9" s="45">
        <v>6747055</v>
      </c>
      <c r="I9" s="46">
        <f t="shared" ref="I9:I21" si="0">G9-H9</f>
        <v>-93523</v>
      </c>
      <c r="J9" s="179"/>
    </row>
    <row r="10" spans="1:10" ht="19.5" customHeight="1" x14ac:dyDescent="0.15">
      <c r="A10" s="216" t="s">
        <v>116</v>
      </c>
      <c r="B10" s="217"/>
      <c r="C10" s="217"/>
      <c r="D10" s="217"/>
      <c r="E10" s="217"/>
      <c r="F10" s="217"/>
      <c r="G10" s="175">
        <v>635643</v>
      </c>
      <c r="H10" s="45">
        <v>2206019</v>
      </c>
      <c r="I10" s="46">
        <f t="shared" si="0"/>
        <v>-1570376</v>
      </c>
    </row>
    <row r="11" spans="1:10" ht="19.5" customHeight="1" x14ac:dyDescent="0.15">
      <c r="A11" s="216" t="s">
        <v>117</v>
      </c>
      <c r="B11" s="217"/>
      <c r="C11" s="217"/>
      <c r="D11" s="217"/>
      <c r="E11" s="217"/>
      <c r="F11" s="217"/>
      <c r="G11" s="176">
        <f>SUM(G9:G10)</f>
        <v>7289175</v>
      </c>
      <c r="H11" s="56">
        <f>SUM(H9:H10)</f>
        <v>8953074</v>
      </c>
      <c r="I11" s="57">
        <f t="shared" si="0"/>
        <v>-1663899</v>
      </c>
    </row>
    <row r="12" spans="1:10" ht="19.5" customHeight="1" x14ac:dyDescent="0.15">
      <c r="A12" s="216" t="s">
        <v>118</v>
      </c>
      <c r="B12" s="217"/>
      <c r="C12" s="217"/>
      <c r="D12" s="217"/>
      <c r="E12" s="217"/>
      <c r="F12" s="217"/>
      <c r="G12" s="173"/>
      <c r="H12" s="52"/>
      <c r="I12" s="46"/>
    </row>
    <row r="13" spans="1:10" ht="19.5" customHeight="1" x14ac:dyDescent="0.15">
      <c r="A13" s="216" t="s">
        <v>161</v>
      </c>
      <c r="B13" s="217"/>
      <c r="C13" s="217"/>
      <c r="D13" s="217"/>
      <c r="E13" s="217"/>
      <c r="F13" s="217"/>
      <c r="G13" s="174"/>
      <c r="H13" s="54"/>
      <c r="I13" s="46"/>
    </row>
    <row r="14" spans="1:10" ht="19.5" customHeight="1" x14ac:dyDescent="0.15">
      <c r="A14" s="216" t="s">
        <v>119</v>
      </c>
      <c r="B14" s="217"/>
      <c r="C14" s="217"/>
      <c r="D14" s="217"/>
      <c r="E14" s="217"/>
      <c r="F14" s="217"/>
      <c r="G14" s="175">
        <v>0</v>
      </c>
      <c r="H14" s="45">
        <v>1838000</v>
      </c>
      <c r="I14" s="46">
        <f t="shared" si="0"/>
        <v>-1838000</v>
      </c>
    </row>
    <row r="15" spans="1:10" ht="19.5" customHeight="1" x14ac:dyDescent="0.15">
      <c r="A15" s="216" t="s">
        <v>120</v>
      </c>
      <c r="B15" s="217"/>
      <c r="C15" s="217"/>
      <c r="D15" s="217"/>
      <c r="E15" s="217"/>
      <c r="F15" s="217"/>
      <c r="G15" s="176">
        <f>SUM(G14:G14)</f>
        <v>0</v>
      </c>
      <c r="H15" s="56">
        <f>SUM(H14:H14)</f>
        <v>1838000</v>
      </c>
      <c r="I15" s="57">
        <f t="shared" si="0"/>
        <v>-1838000</v>
      </c>
    </row>
    <row r="16" spans="1:10" ht="19.5" customHeight="1" x14ac:dyDescent="0.15">
      <c r="A16" s="216" t="s">
        <v>162</v>
      </c>
      <c r="B16" s="217"/>
      <c r="C16" s="217"/>
      <c r="D16" s="217"/>
      <c r="E16" s="217"/>
      <c r="F16" s="217"/>
      <c r="G16" s="173"/>
      <c r="H16" s="52"/>
      <c r="I16" s="46"/>
    </row>
    <row r="17" spans="1:9" ht="19.5" customHeight="1" x14ac:dyDescent="0.15">
      <c r="A17" s="216" t="s">
        <v>121</v>
      </c>
      <c r="B17" s="217"/>
      <c r="C17" s="217"/>
      <c r="D17" s="217"/>
      <c r="E17" s="217"/>
      <c r="F17" s="217"/>
      <c r="G17" s="175">
        <v>450000</v>
      </c>
      <c r="H17" s="45">
        <v>450000</v>
      </c>
      <c r="I17" s="46">
        <f t="shared" si="0"/>
        <v>0</v>
      </c>
    </row>
    <row r="18" spans="1:9" ht="19.5" customHeight="1" x14ac:dyDescent="0.15">
      <c r="A18" s="216" t="s">
        <v>122</v>
      </c>
      <c r="B18" s="217"/>
      <c r="C18" s="217"/>
      <c r="D18" s="217"/>
      <c r="E18" s="217"/>
      <c r="F18" s="217"/>
      <c r="G18" s="175">
        <v>0</v>
      </c>
      <c r="H18" s="45">
        <v>101325</v>
      </c>
      <c r="I18" s="46">
        <f t="shared" si="0"/>
        <v>-101325</v>
      </c>
    </row>
    <row r="19" spans="1:9" ht="19.5" customHeight="1" x14ac:dyDescent="0.15">
      <c r="A19" s="216" t="s">
        <v>123</v>
      </c>
      <c r="B19" s="217"/>
      <c r="C19" s="217"/>
      <c r="D19" s="217"/>
      <c r="E19" s="217"/>
      <c r="F19" s="217"/>
      <c r="G19" s="176">
        <f>SUM(G17:G18)</f>
        <v>450000</v>
      </c>
      <c r="H19" s="56">
        <f>SUM(H17:H18)</f>
        <v>551325</v>
      </c>
      <c r="I19" s="57">
        <f t="shared" si="0"/>
        <v>-101325</v>
      </c>
    </row>
    <row r="20" spans="1:9" ht="19.5" customHeight="1" x14ac:dyDescent="0.15">
      <c r="A20" s="216" t="s">
        <v>124</v>
      </c>
      <c r="B20" s="217"/>
      <c r="C20" s="217"/>
      <c r="D20" s="217"/>
      <c r="E20" s="217"/>
      <c r="F20" s="217"/>
      <c r="G20" s="176">
        <f>G15+G19</f>
        <v>450000</v>
      </c>
      <c r="H20" s="56">
        <f>H15+H19</f>
        <v>2389325</v>
      </c>
      <c r="I20" s="57">
        <f t="shared" si="0"/>
        <v>-1939325</v>
      </c>
    </row>
    <row r="21" spans="1:9" ht="19.5" customHeight="1" x14ac:dyDescent="0.15">
      <c r="A21" s="216" t="s">
        <v>125</v>
      </c>
      <c r="B21" s="217"/>
      <c r="C21" s="217"/>
      <c r="D21" s="217"/>
      <c r="E21" s="217"/>
      <c r="F21" s="217"/>
      <c r="G21" s="176">
        <f>G11+G20</f>
        <v>7739175</v>
      </c>
      <c r="H21" s="56">
        <f>H11+H20</f>
        <v>11342399</v>
      </c>
      <c r="I21" s="57">
        <f t="shared" si="0"/>
        <v>-3603224</v>
      </c>
    </row>
    <row r="22" spans="1:9" ht="19.5" customHeight="1" x14ac:dyDescent="0.15">
      <c r="A22" s="216" t="s">
        <v>126</v>
      </c>
      <c r="B22" s="217"/>
      <c r="C22" s="217"/>
      <c r="D22" s="217"/>
      <c r="E22" s="217"/>
      <c r="F22" s="217"/>
      <c r="G22" s="173"/>
      <c r="H22" s="52"/>
      <c r="I22" s="53"/>
    </row>
    <row r="23" spans="1:9" ht="19.5" customHeight="1" x14ac:dyDescent="0.15">
      <c r="A23" s="216" t="s">
        <v>127</v>
      </c>
      <c r="B23" s="217"/>
      <c r="C23" s="217"/>
      <c r="D23" s="217"/>
      <c r="E23" s="217"/>
      <c r="F23" s="217"/>
      <c r="G23" s="174"/>
      <c r="H23" s="54"/>
      <c r="I23" s="55"/>
    </row>
    <row r="24" spans="1:9" ht="19.5" customHeight="1" x14ac:dyDescent="0.15">
      <c r="A24" s="216" t="s">
        <v>128</v>
      </c>
      <c r="B24" s="217"/>
      <c r="C24" s="217"/>
      <c r="D24" s="217"/>
      <c r="E24" s="217"/>
      <c r="F24" s="217"/>
      <c r="G24" s="175">
        <v>186915</v>
      </c>
      <c r="H24" s="45">
        <v>2239601</v>
      </c>
      <c r="I24" s="46">
        <f>G24-H24</f>
        <v>-2052686</v>
      </c>
    </row>
    <row r="25" spans="1:9" ht="19.5" customHeight="1" x14ac:dyDescent="0.15">
      <c r="A25" s="216" t="s">
        <v>129</v>
      </c>
      <c r="B25" s="217"/>
      <c r="C25" s="217"/>
      <c r="D25" s="217"/>
      <c r="E25" s="217"/>
      <c r="F25" s="217"/>
      <c r="G25" s="175">
        <v>182474</v>
      </c>
      <c r="H25" s="45">
        <v>65876</v>
      </c>
      <c r="I25" s="46">
        <f t="shared" ref="I25:I37" si="1">G25-H25</f>
        <v>116598</v>
      </c>
    </row>
    <row r="26" spans="1:9" ht="19.5" customHeight="1" x14ac:dyDescent="0.15">
      <c r="A26" s="216" t="s">
        <v>130</v>
      </c>
      <c r="B26" s="217"/>
      <c r="C26" s="217"/>
      <c r="D26" s="217"/>
      <c r="E26" s="217"/>
      <c r="F26" s="217"/>
      <c r="G26" s="176">
        <f>SUM(G24:G25)</f>
        <v>369389</v>
      </c>
      <c r="H26" s="56">
        <f>SUM(H24:H25)</f>
        <v>2305477</v>
      </c>
      <c r="I26" s="57">
        <f t="shared" si="1"/>
        <v>-1936088</v>
      </c>
    </row>
    <row r="27" spans="1:9" ht="19.5" customHeight="1" x14ac:dyDescent="0.15">
      <c r="A27" s="216" t="s">
        <v>131</v>
      </c>
      <c r="B27" s="217"/>
      <c r="C27" s="217"/>
      <c r="D27" s="217"/>
      <c r="E27" s="217"/>
      <c r="F27" s="217"/>
      <c r="G27" s="173"/>
      <c r="H27" s="52"/>
      <c r="I27" s="46"/>
    </row>
    <row r="28" spans="1:9" ht="19.5" customHeight="1" x14ac:dyDescent="0.15">
      <c r="A28" s="216" t="s">
        <v>132</v>
      </c>
      <c r="B28" s="217"/>
      <c r="C28" s="217"/>
      <c r="D28" s="217"/>
      <c r="E28" s="217"/>
      <c r="F28" s="217"/>
      <c r="G28" s="175">
        <v>0</v>
      </c>
      <c r="H28" s="45">
        <v>101325</v>
      </c>
      <c r="I28" s="46">
        <f t="shared" si="1"/>
        <v>-101325</v>
      </c>
    </row>
    <row r="29" spans="1:9" ht="19.5" customHeight="1" x14ac:dyDescent="0.15">
      <c r="A29" s="216" t="s">
        <v>133</v>
      </c>
      <c r="B29" s="217"/>
      <c r="C29" s="217"/>
      <c r="D29" s="217"/>
      <c r="E29" s="217"/>
      <c r="F29" s="217"/>
      <c r="G29" s="175">
        <v>0</v>
      </c>
      <c r="H29" s="45">
        <v>1838000</v>
      </c>
      <c r="I29" s="46">
        <f t="shared" si="1"/>
        <v>-1838000</v>
      </c>
    </row>
    <row r="30" spans="1:9" ht="19.5" customHeight="1" x14ac:dyDescent="0.15">
      <c r="A30" s="216" t="s">
        <v>134</v>
      </c>
      <c r="B30" s="217"/>
      <c r="C30" s="217"/>
      <c r="D30" s="217"/>
      <c r="E30" s="217"/>
      <c r="F30" s="217"/>
      <c r="G30" s="176">
        <f>SUM(G28:G29)</f>
        <v>0</v>
      </c>
      <c r="H30" s="56">
        <f>SUM(H28:H29)</f>
        <v>1939325</v>
      </c>
      <c r="I30" s="57">
        <f t="shared" si="1"/>
        <v>-1939325</v>
      </c>
    </row>
    <row r="31" spans="1:9" ht="19.5" customHeight="1" x14ac:dyDescent="0.15">
      <c r="A31" s="216" t="s">
        <v>135</v>
      </c>
      <c r="B31" s="217"/>
      <c r="C31" s="217"/>
      <c r="D31" s="217"/>
      <c r="E31" s="217"/>
      <c r="F31" s="217"/>
      <c r="G31" s="176">
        <f>G26+G30</f>
        <v>369389</v>
      </c>
      <c r="H31" s="56">
        <f>H26+H30</f>
        <v>4244802</v>
      </c>
      <c r="I31" s="57">
        <f t="shared" si="1"/>
        <v>-3875413</v>
      </c>
    </row>
    <row r="32" spans="1:9" ht="19.5" customHeight="1" x14ac:dyDescent="0.15">
      <c r="A32" s="216" t="s">
        <v>136</v>
      </c>
      <c r="B32" s="217"/>
      <c r="C32" s="217"/>
      <c r="D32" s="217"/>
      <c r="E32" s="217"/>
      <c r="F32" s="217"/>
      <c r="G32" s="173"/>
      <c r="H32" s="52"/>
      <c r="I32" s="46"/>
    </row>
    <row r="33" spans="1:9" ht="19.5" customHeight="1" x14ac:dyDescent="0.15">
      <c r="A33" s="216" t="s">
        <v>137</v>
      </c>
      <c r="B33" s="217"/>
      <c r="C33" s="217"/>
      <c r="D33" s="217"/>
      <c r="E33" s="217"/>
      <c r="F33" s="217"/>
      <c r="G33" s="174"/>
      <c r="H33" s="54"/>
      <c r="I33" s="46"/>
    </row>
    <row r="34" spans="1:9" ht="19.5" customHeight="1" x14ac:dyDescent="0.15">
      <c r="A34" s="216" t="s">
        <v>138</v>
      </c>
      <c r="B34" s="217"/>
      <c r="C34" s="217"/>
      <c r="D34" s="217"/>
      <c r="E34" s="217"/>
      <c r="F34" s="217"/>
      <c r="G34" s="175">
        <v>0</v>
      </c>
      <c r="H34" s="45">
        <v>0</v>
      </c>
      <c r="I34" s="46">
        <f t="shared" si="1"/>
        <v>0</v>
      </c>
    </row>
    <row r="35" spans="1:9" ht="19.5" customHeight="1" x14ac:dyDescent="0.15">
      <c r="A35" s="216" t="s">
        <v>139</v>
      </c>
      <c r="B35" s="217"/>
      <c r="C35" s="217"/>
      <c r="D35" s="217"/>
      <c r="E35" s="217"/>
      <c r="F35" s="217"/>
      <c r="G35" s="177">
        <f>G21-G31</f>
        <v>7369786</v>
      </c>
      <c r="H35" s="58">
        <f>H21-H31</f>
        <v>7097597</v>
      </c>
      <c r="I35" s="57">
        <f t="shared" si="1"/>
        <v>272189</v>
      </c>
    </row>
    <row r="36" spans="1:9" ht="19.5" customHeight="1" x14ac:dyDescent="0.15">
      <c r="A36" s="216" t="s">
        <v>140</v>
      </c>
      <c r="B36" s="217"/>
      <c r="C36" s="217"/>
      <c r="D36" s="217"/>
      <c r="E36" s="217"/>
      <c r="F36" s="217"/>
      <c r="G36" s="176">
        <f>G35</f>
        <v>7369786</v>
      </c>
      <c r="H36" s="56">
        <f>H35</f>
        <v>7097597</v>
      </c>
      <c r="I36" s="57">
        <f t="shared" si="1"/>
        <v>272189</v>
      </c>
    </row>
    <row r="37" spans="1:9" ht="19.5" customHeight="1" x14ac:dyDescent="0.15">
      <c r="A37" s="226" t="s">
        <v>141</v>
      </c>
      <c r="B37" s="227"/>
      <c r="C37" s="227"/>
      <c r="D37" s="227"/>
      <c r="E37" s="227"/>
      <c r="F37" s="227"/>
      <c r="G37" s="176">
        <f>G31+G36</f>
        <v>7739175</v>
      </c>
      <c r="H37" s="56">
        <f>H31+H36</f>
        <v>11342399</v>
      </c>
      <c r="I37" s="57">
        <f t="shared" si="1"/>
        <v>-3603224</v>
      </c>
    </row>
    <row r="38" spans="1:9" x14ac:dyDescent="0.15">
      <c r="G38" s="178"/>
    </row>
    <row r="39" spans="1:9" x14ac:dyDescent="0.15">
      <c r="G39" s="178"/>
    </row>
  </sheetData>
  <mergeCells count="36">
    <mergeCell ref="A36:F36"/>
    <mergeCell ref="A37:F37"/>
    <mergeCell ref="A30:F30"/>
    <mergeCell ref="A31:F31"/>
    <mergeCell ref="A32:F32"/>
    <mergeCell ref="A33:F33"/>
    <mergeCell ref="A34:F34"/>
    <mergeCell ref="A35:F35"/>
    <mergeCell ref="A29:F29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18:F18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7:F7"/>
    <mergeCell ref="A3:I3"/>
    <mergeCell ref="A4:I4"/>
    <mergeCell ref="A5:F5"/>
    <mergeCell ref="G5:I5"/>
    <mergeCell ref="A6:F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％製本+最終版</vt:lpstr>
      <vt:lpstr>3G合計</vt:lpstr>
      <vt:lpstr>2実数製本+最終版</vt:lpstr>
      <vt:lpstr>2重要　実数にする</vt:lpstr>
      <vt:lpstr>1 貸借対照表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社団法人滋賀県配合飼料価格安定基金協会</cp:lastModifiedBy>
  <cp:lastPrinted>2018-05-02T07:27:07Z</cp:lastPrinted>
  <dcterms:created xsi:type="dcterms:W3CDTF">2016-01-26T05:01:41Z</dcterms:created>
  <dcterms:modified xsi:type="dcterms:W3CDTF">2018-05-18T01:16:23Z</dcterms:modified>
</cp:coreProperties>
</file>